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showInkAnnotation="0"/>
  <mc:AlternateContent xmlns:mc="http://schemas.openxmlformats.org/markup-compatibility/2006">
    <mc:Choice Requires="x15">
      <x15ac:absPath xmlns:x15ac="http://schemas.microsoft.com/office/spreadsheetml/2010/11/ac" url="https://dtudk-my.sharepoint.com/personal/thas_dtu_dk/Documents/Projects/20 DAF Rammeaftale/20 DAF-3 Pyrolyse/LEVERANCE/"/>
    </mc:Choice>
  </mc:AlternateContent>
  <xr:revisionPtr revIDLastSave="149" documentId="11_52436B0634C3D84B739F7E9A2E0F8E50A5E0E50C" xr6:coauthVersionLast="47" xr6:coauthVersionMax="47" xr10:uidLastSave="{45D1227D-60AA-8047-B6C4-149862014632}"/>
  <bookViews>
    <workbookView xWindow="0" yWindow="740" windowWidth="27840" windowHeight="15160" xr2:uid="{00000000-000D-0000-FFFF-FFFF00000000}"/>
  </bookViews>
  <sheets>
    <sheet name="info, structure, parameters" sheetId="6" r:id="rId1"/>
    <sheet name="incineration" sheetId="4" r:id="rId2"/>
    <sheet name="mechanical recycling" sheetId="1" r:id="rId3"/>
    <sheet name="chemical recycling" sheetId="5" r:id="rId4"/>
    <sheet name="results"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9" i="6" l="1"/>
  <c r="C872" i="5" s="1"/>
  <c r="B192" i="6"/>
  <c r="C817" i="1" s="1"/>
  <c r="B209" i="6"/>
  <c r="C675" i="5" s="1"/>
  <c r="K686" i="5" s="1"/>
  <c r="B127" i="6"/>
  <c r="C102" i="5" s="1"/>
  <c r="B173" i="6"/>
  <c r="C151" i="5" s="1"/>
  <c r="B180" i="6"/>
  <c r="C187" i="5" s="1"/>
  <c r="B181" i="6"/>
  <c r="C188" i="5" s="1"/>
  <c r="B128" i="6"/>
  <c r="C102" i="1" s="1"/>
  <c r="B169" i="6"/>
  <c r="C147" i="5" s="1"/>
  <c r="B176" i="6"/>
  <c r="C183" i="5" s="1"/>
  <c r="B182" i="6"/>
  <c r="C219" i="5" s="1"/>
  <c r="B175" i="6"/>
  <c r="C182" i="5" s="1"/>
  <c r="B184" i="6"/>
  <c r="C251" i="5" s="1"/>
  <c r="B129" i="6"/>
  <c r="C104" i="5" s="1"/>
  <c r="B178" i="6"/>
  <c r="C185" i="5" s="1"/>
  <c r="B177" i="6"/>
  <c r="C184" i="5" s="1"/>
  <c r="B179" i="6"/>
  <c r="C186" i="5" s="1"/>
  <c r="B210" i="6"/>
  <c r="C295" i="4" s="1"/>
  <c r="B130" i="6"/>
  <c r="C104" i="1" s="1"/>
  <c r="B131" i="6"/>
  <c r="C106" i="5" s="1"/>
  <c r="B132" i="6"/>
  <c r="B211" i="6"/>
  <c r="C677" i="5" s="1"/>
  <c r="B133" i="6"/>
  <c r="C108" i="5" s="1"/>
  <c r="B134" i="6"/>
  <c r="C109" i="5" s="1"/>
  <c r="B135" i="6"/>
  <c r="B171" i="6"/>
  <c r="C149" i="5" s="1"/>
  <c r="B212" i="6"/>
  <c r="C678" i="5" s="1"/>
  <c r="B190" i="6"/>
  <c r="B193" i="6"/>
  <c r="C876" i="5" s="1"/>
  <c r="B191" i="6"/>
  <c r="C335" i="4" s="1"/>
  <c r="B139" i="6"/>
  <c r="C146" i="1" s="1"/>
  <c r="B148" i="6"/>
  <c r="C187" i="1" s="1"/>
  <c r="B157" i="6"/>
  <c r="C226" i="1" s="1"/>
  <c r="B140" i="6"/>
  <c r="C147" i="1" s="1"/>
  <c r="B149" i="6"/>
  <c r="C188" i="1" s="1"/>
  <c r="B158" i="6"/>
  <c r="C227" i="1" s="1"/>
  <c r="B141" i="6"/>
  <c r="C148" i="1" s="1"/>
  <c r="B150" i="6"/>
  <c r="C189" i="1" s="1"/>
  <c r="B159" i="6"/>
  <c r="C228" i="1" s="1"/>
  <c r="B142" i="6"/>
  <c r="C149" i="1" s="1"/>
  <c r="B151" i="6"/>
  <c r="C190" i="1" s="1"/>
  <c r="B160" i="6"/>
  <c r="C229" i="1" s="1"/>
  <c r="B143" i="6"/>
  <c r="C150" i="1" s="1"/>
  <c r="B152" i="6"/>
  <c r="C191" i="1" s="1"/>
  <c r="B161" i="6"/>
  <c r="C230" i="1" s="1"/>
  <c r="B144" i="6"/>
  <c r="C151" i="1" s="1"/>
  <c r="B153" i="6"/>
  <c r="C192" i="1" s="1"/>
  <c r="B162" i="6"/>
  <c r="C231" i="1" s="1"/>
  <c r="B145" i="6"/>
  <c r="C152" i="1" s="1"/>
  <c r="B154" i="6"/>
  <c r="C193" i="1" s="1"/>
  <c r="B163" i="6"/>
  <c r="C232" i="1" s="1"/>
  <c r="B146" i="6"/>
  <c r="C153" i="1" s="1"/>
  <c r="B155" i="6"/>
  <c r="C194" i="1" s="1"/>
  <c r="B164" i="6"/>
  <c r="C233" i="1" s="1"/>
  <c r="B147" i="6"/>
  <c r="C154" i="1" s="1"/>
  <c r="B156" i="6"/>
  <c r="C195" i="1" s="1"/>
  <c r="B165" i="6"/>
  <c r="C234" i="1" s="1"/>
  <c r="C46" i="5"/>
  <c r="C40" i="5"/>
  <c r="E5" i="10" s="1"/>
  <c r="C47" i="5"/>
  <c r="C48" i="5"/>
  <c r="C150" i="5"/>
  <c r="C49" i="5"/>
  <c r="B101" i="6"/>
  <c r="C42" i="4" s="1"/>
  <c r="C51" i="5"/>
  <c r="C52" i="5"/>
  <c r="C53" i="5"/>
  <c r="E76" i="5" s="1"/>
  <c r="C54" i="5"/>
  <c r="B106" i="6"/>
  <c r="C55" i="5" s="1"/>
  <c r="C56" i="5"/>
  <c r="C57" i="5"/>
  <c r="C148" i="5"/>
  <c r="C58" i="5"/>
  <c r="C59" i="5"/>
  <c r="B111" i="6"/>
  <c r="C52" i="4" s="1"/>
  <c r="C61" i="5"/>
  <c r="C62" i="5"/>
  <c r="C63" i="5"/>
  <c r="C64" i="5"/>
  <c r="B96" i="6"/>
  <c r="B116" i="6" s="1"/>
  <c r="C65" i="5" s="1"/>
  <c r="E88" i="5" s="1"/>
  <c r="C45" i="1"/>
  <c r="C39" i="1"/>
  <c r="C46" i="1"/>
  <c r="C47" i="1"/>
  <c r="C48" i="1"/>
  <c r="C50" i="1"/>
  <c r="C51" i="1"/>
  <c r="C52" i="1"/>
  <c r="C53" i="1"/>
  <c r="C55" i="1"/>
  <c r="C56" i="1"/>
  <c r="C57" i="1"/>
  <c r="C58" i="1"/>
  <c r="C60" i="1"/>
  <c r="C61" i="1"/>
  <c r="C62" i="1"/>
  <c r="C63" i="1"/>
  <c r="C38" i="4"/>
  <c r="C32" i="4"/>
  <c r="C5" i="10" s="1"/>
  <c r="C39" i="4"/>
  <c r="C40" i="4"/>
  <c r="C41" i="4"/>
  <c r="C43" i="4"/>
  <c r="C44" i="4"/>
  <c r="C45" i="4"/>
  <c r="C46" i="4"/>
  <c r="C48" i="4"/>
  <c r="C49" i="4"/>
  <c r="C50" i="4"/>
  <c r="C51" i="4"/>
  <c r="C53" i="4"/>
  <c r="C54" i="4"/>
  <c r="C55" i="4"/>
  <c r="C56" i="4"/>
  <c r="D216" i="6"/>
  <c r="E216" i="6" s="1"/>
  <c r="B216" i="6" s="1"/>
  <c r="D217" i="6"/>
  <c r="E217" i="6" s="1"/>
  <c r="B217" i="6" s="1"/>
  <c r="D218" i="6"/>
  <c r="D219" i="6"/>
  <c r="E219" i="6" s="1"/>
  <c r="B219" i="6" s="1"/>
  <c r="D244" i="6"/>
  <c r="D256" i="6" s="1"/>
  <c r="E840" i="5" s="1"/>
  <c r="G188" i="6"/>
  <c r="H348" i="5" s="1"/>
  <c r="G815" i="1"/>
  <c r="G816" i="1"/>
  <c r="G817" i="1"/>
  <c r="G818" i="1"/>
  <c r="G814" i="1"/>
  <c r="E814" i="1"/>
  <c r="F814" i="1"/>
  <c r="E815" i="1"/>
  <c r="F815" i="1"/>
  <c r="E816" i="1"/>
  <c r="F816" i="1"/>
  <c r="E817" i="1"/>
  <c r="F817" i="1"/>
  <c r="E818" i="1"/>
  <c r="F818" i="1"/>
  <c r="D815" i="1"/>
  <c r="D816" i="1"/>
  <c r="D817" i="1"/>
  <c r="D818" i="1"/>
  <c r="D814" i="1"/>
  <c r="B815" i="1"/>
  <c r="B816" i="1"/>
  <c r="B817" i="1"/>
  <c r="B818" i="1"/>
  <c r="B814" i="1"/>
  <c r="B251" i="5"/>
  <c r="G257" i="5" s="1"/>
  <c r="D243" i="6"/>
  <c r="E243" i="6" s="1"/>
  <c r="B243" i="6" s="1"/>
  <c r="G217" i="6"/>
  <c r="C11" i="5"/>
  <c r="C12" i="5"/>
  <c r="C13" i="5"/>
  <c r="C14" i="5"/>
  <c r="B11" i="5"/>
  <c r="B12" i="5"/>
  <c r="B13" i="5"/>
  <c r="B14" i="5"/>
  <c r="C11" i="1"/>
  <c r="C12" i="1"/>
  <c r="C13" i="1"/>
  <c r="C14" i="1"/>
  <c r="B11" i="1"/>
  <c r="B12" i="1"/>
  <c r="B13" i="1"/>
  <c r="B14" i="1"/>
  <c r="C11" i="4"/>
  <c r="C12" i="4"/>
  <c r="C13" i="4"/>
  <c r="C14" i="4"/>
  <c r="B14" i="4"/>
  <c r="B13" i="4"/>
  <c r="B11" i="4"/>
  <c r="B12" i="4"/>
  <c r="D9" i="10"/>
  <c r="D8" i="10"/>
  <c r="C9" i="10"/>
  <c r="E218" i="6"/>
  <c r="C214" i="6" s="1"/>
  <c r="D877" i="5"/>
  <c r="G877" i="5"/>
  <c r="D878" i="5"/>
  <c r="G878" i="5"/>
  <c r="B878" i="5"/>
  <c r="B877" i="5"/>
  <c r="D819" i="1"/>
  <c r="G819" i="1"/>
  <c r="D820" i="1"/>
  <c r="G820" i="1"/>
  <c r="B820" i="1"/>
  <c r="B819" i="1"/>
  <c r="D338" i="4"/>
  <c r="G338" i="4"/>
  <c r="D339" i="4"/>
  <c r="G339" i="4"/>
  <c r="B339" i="4"/>
  <c r="D352" i="4"/>
  <c r="B338" i="4"/>
  <c r="D840" i="5"/>
  <c r="G840" i="5"/>
  <c r="B840" i="5"/>
  <c r="D798" i="5"/>
  <c r="D799" i="5"/>
  <c r="D800" i="5"/>
  <c r="D774" i="5"/>
  <c r="G774" i="5"/>
  <c r="D775" i="5"/>
  <c r="G775" i="5"/>
  <c r="D776" i="5"/>
  <c r="G776" i="5"/>
  <c r="B775" i="5"/>
  <c r="B776" i="5"/>
  <c r="B774" i="5"/>
  <c r="D776" i="1"/>
  <c r="G776" i="1"/>
  <c r="D777" i="1"/>
  <c r="G777" i="1"/>
  <c r="D778" i="1"/>
  <c r="G778" i="1"/>
  <c r="D779" i="1"/>
  <c r="G779" i="1"/>
  <c r="B777" i="1"/>
  <c r="B778" i="1"/>
  <c r="B779" i="1"/>
  <c r="B776" i="1"/>
  <c r="D761" i="1"/>
  <c r="D762" i="1"/>
  <c r="D763" i="1"/>
  <c r="B737" i="1"/>
  <c r="D737" i="1"/>
  <c r="G737" i="1"/>
  <c r="B738" i="1"/>
  <c r="D738" i="1"/>
  <c r="G738" i="1"/>
  <c r="B739" i="1"/>
  <c r="D739" i="1"/>
  <c r="G739" i="1"/>
  <c r="D736" i="1"/>
  <c r="G736" i="1"/>
  <c r="B736" i="1"/>
  <c r="G234" i="5"/>
  <c r="G229" i="5"/>
  <c r="G224" i="5"/>
  <c r="B183" i="6"/>
  <c r="C220" i="5" s="1"/>
  <c r="D188" i="5"/>
  <c r="E188" i="5"/>
  <c r="F188" i="5"/>
  <c r="G188" i="5"/>
  <c r="B188" i="5"/>
  <c r="G174" i="6"/>
  <c r="G181" i="6"/>
  <c r="H188" i="5" s="1"/>
  <c r="B174" i="6"/>
  <c r="G255" i="6"/>
  <c r="H776" i="5" s="1"/>
  <c r="G254" i="6"/>
  <c r="H775" i="5" s="1"/>
  <c r="G253" i="6"/>
  <c r="H774" i="5" s="1"/>
  <c r="G252" i="6"/>
  <c r="H779" i="1" s="1"/>
  <c r="G251" i="6"/>
  <c r="H778" i="1" s="1"/>
  <c r="G250" i="6"/>
  <c r="H777" i="1" s="1"/>
  <c r="G249" i="6"/>
  <c r="H776" i="1" s="1"/>
  <c r="G248" i="6"/>
  <c r="H739" i="1" s="1"/>
  <c r="G247" i="6"/>
  <c r="H738" i="1" s="1"/>
  <c r="G246" i="6"/>
  <c r="H737" i="1" s="1"/>
  <c r="G245" i="6"/>
  <c r="H736" i="1" s="1"/>
  <c r="G235" i="6"/>
  <c r="G234" i="6"/>
  <c r="G233" i="6"/>
  <c r="G232" i="6"/>
  <c r="G231" i="6"/>
  <c r="G230" i="6"/>
  <c r="G229" i="6"/>
  <c r="G228" i="6"/>
  <c r="G227" i="6"/>
  <c r="G226" i="6"/>
  <c r="G225" i="6"/>
  <c r="G224" i="6"/>
  <c r="G223" i="6"/>
  <c r="G222" i="6"/>
  <c r="G221" i="6"/>
  <c r="G220" i="6"/>
  <c r="G237" i="6"/>
  <c r="G244" i="6"/>
  <c r="G256" i="6" s="1"/>
  <c r="H840" i="5" s="1"/>
  <c r="G243" i="6"/>
  <c r="G242" i="6"/>
  <c r="G241" i="6"/>
  <c r="G240" i="6"/>
  <c r="G239" i="6"/>
  <c r="G238" i="6"/>
  <c r="G219" i="6"/>
  <c r="G258" i="6" s="1"/>
  <c r="G218" i="6"/>
  <c r="G216" i="6"/>
  <c r="G257" i="6" s="1"/>
  <c r="H877" i="5" s="1"/>
  <c r="F188" i="4"/>
  <c r="F189" i="4" s="1"/>
  <c r="F190" i="4" s="1"/>
  <c r="F191" i="4" s="1"/>
  <c r="F192" i="4" s="1"/>
  <c r="F193" i="4" s="1"/>
  <c r="F194" i="4" s="1"/>
  <c r="F195" i="4" s="1"/>
  <c r="F196" i="4" s="1"/>
  <c r="F197" i="4" s="1"/>
  <c r="F198" i="4" s="1"/>
  <c r="F199" i="4" s="1"/>
  <c r="F200" i="4" s="1"/>
  <c r="F201" i="4" s="1"/>
  <c r="F202" i="4" s="1"/>
  <c r="F203" i="4" s="1"/>
  <c r="F204" i="4" s="1"/>
  <c r="F205" i="4" s="1"/>
  <c r="F206" i="4" s="1"/>
  <c r="E255" i="6"/>
  <c r="F776" i="5" s="1"/>
  <c r="E253" i="6"/>
  <c r="B253" i="6" s="1"/>
  <c r="C774" i="5" s="1"/>
  <c r="G184" i="6"/>
  <c r="H251" i="5" s="1"/>
  <c r="G180" i="6"/>
  <c r="H187" i="5" s="1"/>
  <c r="G179" i="6"/>
  <c r="G178" i="6"/>
  <c r="G177" i="6"/>
  <c r="G176" i="6"/>
  <c r="H183" i="5" s="1"/>
  <c r="G173" i="6"/>
  <c r="G172" i="6"/>
  <c r="H150" i="5" s="1"/>
  <c r="G171" i="6"/>
  <c r="H149" i="5" s="1"/>
  <c r="G170" i="6"/>
  <c r="H148" i="5" s="1"/>
  <c r="G169" i="6"/>
  <c r="H147" i="5" s="1"/>
  <c r="G175" i="6"/>
  <c r="G153" i="6"/>
  <c r="H192" i="1" s="1"/>
  <c r="G132" i="6"/>
  <c r="H106" i="1" s="1"/>
  <c r="E251" i="5"/>
  <c r="D199" i="6"/>
  <c r="E199" i="6" s="1"/>
  <c r="B199" i="6" s="1"/>
  <c r="C99" i="4" s="1"/>
  <c r="D200" i="6"/>
  <c r="E200" i="6" s="1"/>
  <c r="D201" i="6"/>
  <c r="E101" i="4" s="1"/>
  <c r="D198" i="6"/>
  <c r="E286" i="5" s="1"/>
  <c r="D195" i="6"/>
  <c r="E195" i="6" s="1"/>
  <c r="D196" i="6"/>
  <c r="E96" i="4" s="1"/>
  <c r="D197" i="6"/>
  <c r="E197" i="6" s="1"/>
  <c r="D194" i="6"/>
  <c r="E94" i="4" s="1"/>
  <c r="B188" i="6"/>
  <c r="C138" i="4" s="1"/>
  <c r="E236" i="6"/>
  <c r="B236" i="6" s="1"/>
  <c r="D236" i="6"/>
  <c r="G236" i="6"/>
  <c r="M446" i="5"/>
  <c r="M447" i="5"/>
  <c r="M448" i="5"/>
  <c r="M449" i="5"/>
  <c r="M450" i="5"/>
  <c r="M133" i="5"/>
  <c r="M132" i="5"/>
  <c r="M131" i="5"/>
  <c r="M130" i="5"/>
  <c r="M129" i="5"/>
  <c r="B206" i="6"/>
  <c r="C389" i="5" s="1"/>
  <c r="B207" i="6"/>
  <c r="C390" i="5" s="1"/>
  <c r="B208" i="6"/>
  <c r="C182" i="4" s="1"/>
  <c r="B205" i="6"/>
  <c r="E254" i="6"/>
  <c r="B254" i="6" s="1"/>
  <c r="C775" i="5" s="1"/>
  <c r="E252" i="6"/>
  <c r="B252" i="6" s="1"/>
  <c r="C779" i="1" s="1"/>
  <c r="E251" i="6"/>
  <c r="B251" i="6" s="1"/>
  <c r="C778" i="1" s="1"/>
  <c r="E250" i="6"/>
  <c r="B250" i="6" s="1"/>
  <c r="C777" i="1" s="1"/>
  <c r="E249" i="6"/>
  <c r="B249" i="6" s="1"/>
  <c r="C776" i="1" s="1"/>
  <c r="E248" i="6"/>
  <c r="B248" i="6" s="1"/>
  <c r="C739" i="1" s="1"/>
  <c r="F739" i="1"/>
  <c r="D252" i="6"/>
  <c r="E779" i="1" s="1"/>
  <c r="D251" i="6"/>
  <c r="E778" i="1" s="1"/>
  <c r="D250" i="6"/>
  <c r="E777" i="1" s="1"/>
  <c r="D249" i="6"/>
  <c r="E776" i="1" s="1"/>
  <c r="D248" i="6"/>
  <c r="E739" i="1" s="1"/>
  <c r="B224" i="6"/>
  <c r="B225" i="6"/>
  <c r="B226" i="6"/>
  <c r="B227" i="6"/>
  <c r="B232" i="6"/>
  <c r="B233" i="6"/>
  <c r="B234" i="6"/>
  <c r="B235" i="6"/>
  <c r="B237" i="6"/>
  <c r="B238" i="6"/>
  <c r="B239" i="6"/>
  <c r="B240" i="6"/>
  <c r="B241" i="6"/>
  <c r="B242" i="6"/>
  <c r="B231" i="6"/>
  <c r="B230" i="6"/>
  <c r="B223" i="6"/>
  <c r="B222" i="6"/>
  <c r="E247" i="6"/>
  <c r="F738" i="1" s="1"/>
  <c r="D247" i="6"/>
  <c r="E738" i="1" s="1"/>
  <c r="E246" i="6"/>
  <c r="F737" i="1" s="1"/>
  <c r="D246" i="6"/>
  <c r="E737" i="1" s="1"/>
  <c r="E245" i="6"/>
  <c r="F736" i="1" s="1"/>
  <c r="D245" i="6"/>
  <c r="E736" i="1" s="1"/>
  <c r="B229" i="6"/>
  <c r="B228" i="6"/>
  <c r="B221" i="6"/>
  <c r="B220" i="6"/>
  <c r="M429" i="1"/>
  <c r="M430" i="1"/>
  <c r="M431" i="1"/>
  <c r="M432" i="1"/>
  <c r="M433" i="1"/>
  <c r="C138" i="1"/>
  <c r="B140" i="1"/>
  <c r="I91" i="1"/>
  <c r="I93" i="1"/>
  <c r="M132" i="1"/>
  <c r="M131" i="1"/>
  <c r="M130" i="1"/>
  <c r="M129" i="1"/>
  <c r="M128" i="1"/>
  <c r="C128" i="1"/>
  <c r="I128" i="1"/>
  <c r="C129" i="1"/>
  <c r="I129" i="1"/>
  <c r="C130" i="1"/>
  <c r="I130" i="1"/>
  <c r="C131" i="1"/>
  <c r="I131" i="1"/>
  <c r="C132" i="1"/>
  <c r="I132" i="1"/>
  <c r="D872" i="5"/>
  <c r="E872" i="5"/>
  <c r="F872" i="5"/>
  <c r="G872" i="5"/>
  <c r="D873" i="5"/>
  <c r="E873" i="5"/>
  <c r="F873" i="5"/>
  <c r="G873" i="5"/>
  <c r="D874" i="5"/>
  <c r="E874" i="5"/>
  <c r="F874" i="5"/>
  <c r="G874" i="5"/>
  <c r="D875" i="5"/>
  <c r="E875" i="5"/>
  <c r="F875" i="5"/>
  <c r="G875" i="5"/>
  <c r="D876" i="5"/>
  <c r="E876" i="5"/>
  <c r="F876" i="5"/>
  <c r="G876" i="5"/>
  <c r="B873" i="5"/>
  <c r="B874" i="5"/>
  <c r="B875" i="5"/>
  <c r="B876" i="5"/>
  <c r="B872" i="5"/>
  <c r="C333" i="4"/>
  <c r="D333" i="4"/>
  <c r="E333" i="4"/>
  <c r="F333" i="4"/>
  <c r="G333" i="4"/>
  <c r="D334" i="4"/>
  <c r="E334" i="4"/>
  <c r="F334" i="4"/>
  <c r="G334" i="4"/>
  <c r="D335" i="4"/>
  <c r="E335" i="4"/>
  <c r="F335" i="4"/>
  <c r="G335" i="4"/>
  <c r="C336" i="4"/>
  <c r="D336" i="4"/>
  <c r="E336" i="4"/>
  <c r="F336" i="4"/>
  <c r="G336" i="4"/>
  <c r="D337" i="4"/>
  <c r="E337" i="4"/>
  <c r="F337" i="4"/>
  <c r="G337" i="4"/>
  <c r="B334" i="4"/>
  <c r="B335" i="4"/>
  <c r="B336" i="4"/>
  <c r="B337" i="4"/>
  <c r="B333" i="4"/>
  <c r="D294" i="4"/>
  <c r="E294" i="4"/>
  <c r="F294" i="4"/>
  <c r="G294" i="4"/>
  <c r="D295" i="4"/>
  <c r="E295" i="4"/>
  <c r="F295" i="4"/>
  <c r="G295" i="4"/>
  <c r="D296" i="4"/>
  <c r="E296" i="4"/>
  <c r="F296" i="4"/>
  <c r="G296" i="4"/>
  <c r="D297" i="4"/>
  <c r="E297" i="4"/>
  <c r="F297" i="4"/>
  <c r="G297" i="4"/>
  <c r="B295" i="4"/>
  <c r="G307" i="4" s="1"/>
  <c r="B296" i="4"/>
  <c r="G313" i="4" s="1"/>
  <c r="B297" i="4"/>
  <c r="G319" i="4" s="1"/>
  <c r="B294" i="4"/>
  <c r="G301" i="4" s="1"/>
  <c r="M258" i="4"/>
  <c r="M259" i="4"/>
  <c r="M260" i="4"/>
  <c r="M261" i="4"/>
  <c r="M262" i="4"/>
  <c r="M263" i="4"/>
  <c r="M264" i="4"/>
  <c r="M265" i="4"/>
  <c r="M266" i="4"/>
  <c r="M267" i="4"/>
  <c r="M268" i="4"/>
  <c r="M269" i="4"/>
  <c r="M270" i="4"/>
  <c r="M271" i="4"/>
  <c r="M272" i="4"/>
  <c r="M273" i="4"/>
  <c r="M274" i="4"/>
  <c r="M275" i="4"/>
  <c r="M276" i="4"/>
  <c r="M257" i="4"/>
  <c r="M241" i="4"/>
  <c r="M240" i="4"/>
  <c r="M239" i="4"/>
  <c r="M238" i="4"/>
  <c r="M237" i="4"/>
  <c r="M236" i="4"/>
  <c r="M235" i="4"/>
  <c r="M234" i="4"/>
  <c r="M233" i="4"/>
  <c r="M232" i="4"/>
  <c r="M231" i="4"/>
  <c r="M230" i="4"/>
  <c r="M229" i="4"/>
  <c r="M228" i="4"/>
  <c r="M227" i="4"/>
  <c r="M226" i="4"/>
  <c r="M225" i="4"/>
  <c r="M224" i="4"/>
  <c r="M223" i="4"/>
  <c r="M222" i="4"/>
  <c r="D179" i="4"/>
  <c r="E179" i="4"/>
  <c r="F179" i="4"/>
  <c r="G179" i="4"/>
  <c r="D180" i="4"/>
  <c r="E180" i="4"/>
  <c r="F180" i="4"/>
  <c r="G180" i="4"/>
  <c r="D181" i="4"/>
  <c r="E181" i="4"/>
  <c r="F181" i="4"/>
  <c r="G181" i="4"/>
  <c r="D182" i="4"/>
  <c r="D183" i="4" s="1"/>
  <c r="E182" i="4"/>
  <c r="F182" i="4"/>
  <c r="G182" i="4"/>
  <c r="B180" i="4"/>
  <c r="G263" i="4" s="1"/>
  <c r="B181" i="4"/>
  <c r="G269" i="4" s="1"/>
  <c r="B182" i="4"/>
  <c r="G204" i="4" s="1"/>
  <c r="B179" i="4"/>
  <c r="G261" i="4" s="1"/>
  <c r="M143" i="4"/>
  <c r="M144" i="4"/>
  <c r="M145" i="4"/>
  <c r="M146" i="4"/>
  <c r="M147" i="4"/>
  <c r="M148" i="4"/>
  <c r="M149" i="4"/>
  <c r="M150" i="4"/>
  <c r="M151" i="4"/>
  <c r="M152" i="4"/>
  <c r="M153" i="4"/>
  <c r="M154" i="4"/>
  <c r="M155" i="4"/>
  <c r="M156" i="4"/>
  <c r="M157" i="4"/>
  <c r="M158" i="4"/>
  <c r="M159" i="4"/>
  <c r="M160" i="4"/>
  <c r="M161" i="4"/>
  <c r="M142" i="4"/>
  <c r="D138" i="4"/>
  <c r="E138" i="4"/>
  <c r="F138" i="4"/>
  <c r="G138" i="4"/>
  <c r="B138" i="4"/>
  <c r="G148" i="4" s="1"/>
  <c r="M106" i="4"/>
  <c r="M107" i="4"/>
  <c r="M108" i="4"/>
  <c r="M109" i="4"/>
  <c r="M110" i="4"/>
  <c r="M111" i="4"/>
  <c r="M112" i="4"/>
  <c r="M113" i="4"/>
  <c r="M114" i="4"/>
  <c r="M115" i="4"/>
  <c r="M116" i="4"/>
  <c r="M117" i="4"/>
  <c r="M118" i="4"/>
  <c r="M119" i="4"/>
  <c r="M120" i="4"/>
  <c r="M121" i="4"/>
  <c r="M122" i="4"/>
  <c r="M123" i="4"/>
  <c r="M124" i="4"/>
  <c r="M105" i="4"/>
  <c r="D94" i="4"/>
  <c r="G94" i="4"/>
  <c r="D95" i="4"/>
  <c r="G95" i="4"/>
  <c r="D96" i="4"/>
  <c r="G96" i="4"/>
  <c r="D97" i="4"/>
  <c r="G97" i="4"/>
  <c r="D98" i="4"/>
  <c r="G98" i="4"/>
  <c r="D99" i="4"/>
  <c r="E99" i="4"/>
  <c r="G99" i="4"/>
  <c r="D100" i="4"/>
  <c r="G100" i="4"/>
  <c r="D101" i="4"/>
  <c r="G101" i="4"/>
  <c r="B95" i="4"/>
  <c r="B96" i="4"/>
  <c r="G115" i="4" s="1"/>
  <c r="B97" i="4"/>
  <c r="G124" i="4" s="1"/>
  <c r="B98" i="4"/>
  <c r="B99" i="4"/>
  <c r="B100" i="4"/>
  <c r="B101" i="4"/>
  <c r="B94" i="4"/>
  <c r="G106" i="4" s="1"/>
  <c r="D32" i="4"/>
  <c r="E32" i="4"/>
  <c r="F32" i="4"/>
  <c r="C33" i="4"/>
  <c r="D33" i="4"/>
  <c r="E33" i="4"/>
  <c r="F33" i="4"/>
  <c r="C34" i="4"/>
  <c r="D34" i="4"/>
  <c r="E34" i="4"/>
  <c r="C35" i="4"/>
  <c r="D35" i="4"/>
  <c r="E35" i="4"/>
  <c r="C36" i="4"/>
  <c r="D36" i="4"/>
  <c r="E36" i="4"/>
  <c r="D37" i="4"/>
  <c r="E37" i="4"/>
  <c r="F37" i="4"/>
  <c r="D38" i="4"/>
  <c r="E38" i="4"/>
  <c r="D39" i="4"/>
  <c r="E39" i="4"/>
  <c r="D40" i="4"/>
  <c r="E40" i="4"/>
  <c r="D41" i="4"/>
  <c r="E41" i="4"/>
  <c r="D42" i="4"/>
  <c r="E42" i="4"/>
  <c r="F42" i="4"/>
  <c r="D43" i="4"/>
  <c r="E43" i="4"/>
  <c r="D44" i="4"/>
  <c r="E44" i="4"/>
  <c r="D45" i="4"/>
  <c r="E45" i="4"/>
  <c r="D46" i="4"/>
  <c r="E46" i="4"/>
  <c r="D47" i="4"/>
  <c r="E47" i="4"/>
  <c r="F47" i="4"/>
  <c r="D48" i="4"/>
  <c r="E48" i="4"/>
  <c r="D49" i="4"/>
  <c r="E49" i="4"/>
  <c r="D50" i="4"/>
  <c r="E50" i="4"/>
  <c r="D51" i="4"/>
  <c r="E51" i="4"/>
  <c r="D52" i="4"/>
  <c r="E52" i="4"/>
  <c r="F52" i="4"/>
  <c r="D53" i="4"/>
  <c r="E53" i="4"/>
  <c r="D54" i="4"/>
  <c r="E54" i="4"/>
  <c r="D55" i="4"/>
  <c r="E55" i="4"/>
  <c r="D56" i="4"/>
  <c r="E56" i="4"/>
  <c r="D57" i="4"/>
  <c r="E57" i="4"/>
  <c r="F57" i="4"/>
  <c r="B33" i="4"/>
  <c r="B34" i="4"/>
  <c r="B35" i="4"/>
  <c r="B36" i="4"/>
  <c r="B37" i="4"/>
  <c r="B38" i="4"/>
  <c r="B39" i="4"/>
  <c r="B40" i="4"/>
  <c r="B41" i="4"/>
  <c r="B42" i="4"/>
  <c r="B43" i="4"/>
  <c r="B44" i="4"/>
  <c r="B45" i="4"/>
  <c r="B46" i="4"/>
  <c r="B47" i="4"/>
  <c r="B48" i="4"/>
  <c r="B49" i="4"/>
  <c r="B50" i="4"/>
  <c r="B51" i="4"/>
  <c r="B52" i="4"/>
  <c r="G75" i="4" s="1"/>
  <c r="B53" i="4"/>
  <c r="B54" i="4"/>
  <c r="B55" i="4"/>
  <c r="B56" i="4"/>
  <c r="B57" i="4"/>
  <c r="B32" i="4"/>
  <c r="M858" i="5"/>
  <c r="M857" i="5"/>
  <c r="M856" i="5"/>
  <c r="M855" i="5"/>
  <c r="M854" i="5"/>
  <c r="M853" i="5"/>
  <c r="M852" i="5"/>
  <c r="M851" i="5"/>
  <c r="M850" i="5"/>
  <c r="M849" i="5"/>
  <c r="M848" i="5"/>
  <c r="M847" i="5"/>
  <c r="M846" i="5"/>
  <c r="M845" i="5"/>
  <c r="M844" i="5"/>
  <c r="M815" i="5"/>
  <c r="M816" i="5"/>
  <c r="M817" i="5"/>
  <c r="M818" i="5"/>
  <c r="M819" i="5"/>
  <c r="M820" i="5"/>
  <c r="M821" i="5"/>
  <c r="M822" i="5"/>
  <c r="M823" i="5"/>
  <c r="M824" i="5"/>
  <c r="M825" i="5"/>
  <c r="M826" i="5"/>
  <c r="M827" i="5"/>
  <c r="M814" i="5"/>
  <c r="M813" i="5"/>
  <c r="M747" i="5"/>
  <c r="M748" i="5"/>
  <c r="M749" i="5"/>
  <c r="M750" i="5"/>
  <c r="M751" i="5"/>
  <c r="M752" i="5"/>
  <c r="M753" i="5"/>
  <c r="M754" i="5"/>
  <c r="M755" i="5"/>
  <c r="M756" i="5"/>
  <c r="M757" i="5"/>
  <c r="M758" i="5"/>
  <c r="M759" i="5"/>
  <c r="M760" i="5"/>
  <c r="M761" i="5"/>
  <c r="M719" i="5"/>
  <c r="M720" i="5"/>
  <c r="M721" i="5"/>
  <c r="M722" i="5"/>
  <c r="M723" i="5"/>
  <c r="M724" i="5"/>
  <c r="M725" i="5"/>
  <c r="M726" i="5"/>
  <c r="M727" i="5"/>
  <c r="M728" i="5"/>
  <c r="M729" i="5"/>
  <c r="M730" i="5"/>
  <c r="M731" i="5"/>
  <c r="M732" i="5"/>
  <c r="M718" i="5"/>
  <c r="D675" i="5"/>
  <c r="E675" i="5"/>
  <c r="F675" i="5"/>
  <c r="G675" i="5"/>
  <c r="D676" i="5"/>
  <c r="E676" i="5"/>
  <c r="F676" i="5"/>
  <c r="G676" i="5"/>
  <c r="D677" i="5"/>
  <c r="E677" i="5"/>
  <c r="F677" i="5"/>
  <c r="G677" i="5"/>
  <c r="D678" i="5"/>
  <c r="E678" i="5"/>
  <c r="F678" i="5"/>
  <c r="G678" i="5"/>
  <c r="B676" i="5"/>
  <c r="G821" i="5" s="1"/>
  <c r="B677" i="5"/>
  <c r="G758" i="5" s="1"/>
  <c r="G895" i="5"/>
  <c r="B678" i="5"/>
  <c r="G897" i="5" s="1"/>
  <c r="B675" i="5"/>
  <c r="G883" i="5" s="1"/>
  <c r="M658" i="5"/>
  <c r="M657" i="5"/>
  <c r="M656" i="5"/>
  <c r="M655" i="5"/>
  <c r="M654" i="5"/>
  <c r="M653" i="5"/>
  <c r="M652" i="5"/>
  <c r="M651" i="5"/>
  <c r="M650" i="5"/>
  <c r="M649" i="5"/>
  <c r="M648" i="5"/>
  <c r="M647" i="5"/>
  <c r="M646" i="5"/>
  <c r="M645" i="5"/>
  <c r="M644" i="5"/>
  <c r="M643" i="5"/>
  <c r="M642" i="5"/>
  <c r="M641" i="5"/>
  <c r="M640" i="5"/>
  <c r="M639" i="5"/>
  <c r="M605" i="5"/>
  <c r="M606" i="5"/>
  <c r="M607" i="5"/>
  <c r="M608" i="5"/>
  <c r="M609" i="5"/>
  <c r="M610" i="5"/>
  <c r="M611" i="5"/>
  <c r="M612" i="5"/>
  <c r="M613" i="5"/>
  <c r="M614" i="5"/>
  <c r="M615" i="5"/>
  <c r="M616" i="5"/>
  <c r="M617" i="5"/>
  <c r="M618" i="5"/>
  <c r="M619" i="5"/>
  <c r="M620" i="5"/>
  <c r="M621" i="5"/>
  <c r="M622" i="5"/>
  <c r="M623" i="5"/>
  <c r="M604" i="5"/>
  <c r="M554" i="5"/>
  <c r="M555" i="5"/>
  <c r="M556" i="5"/>
  <c r="M557" i="5"/>
  <c r="M558" i="5"/>
  <c r="M559" i="5"/>
  <c r="M560" i="5"/>
  <c r="M561" i="5"/>
  <c r="M562" i="5"/>
  <c r="M563" i="5"/>
  <c r="M564" i="5"/>
  <c r="M565" i="5"/>
  <c r="M566" i="5"/>
  <c r="M567" i="5"/>
  <c r="M553" i="5"/>
  <c r="M525" i="5"/>
  <c r="M526" i="5"/>
  <c r="M527" i="5"/>
  <c r="M528" i="5"/>
  <c r="M529" i="5"/>
  <c r="M530" i="5"/>
  <c r="M531" i="5"/>
  <c r="M532" i="5"/>
  <c r="M533" i="5"/>
  <c r="M534" i="5"/>
  <c r="M535" i="5"/>
  <c r="M536" i="5"/>
  <c r="M537" i="5"/>
  <c r="M538" i="5"/>
  <c r="M524" i="5"/>
  <c r="M467" i="5"/>
  <c r="M468" i="5"/>
  <c r="M469" i="5"/>
  <c r="M470" i="5"/>
  <c r="M471" i="5"/>
  <c r="M472" i="5"/>
  <c r="M473" i="5"/>
  <c r="M474" i="5"/>
  <c r="M475" i="5"/>
  <c r="M476" i="5"/>
  <c r="M477" i="5"/>
  <c r="M478" i="5"/>
  <c r="M479" i="5"/>
  <c r="M480" i="5"/>
  <c r="M466" i="5"/>
  <c r="M445" i="5"/>
  <c r="M444" i="5"/>
  <c r="M443" i="5"/>
  <c r="M442" i="5"/>
  <c r="M441" i="5"/>
  <c r="M440" i="5"/>
  <c r="M439" i="5"/>
  <c r="M438" i="5"/>
  <c r="M437" i="5"/>
  <c r="M436" i="5"/>
  <c r="M435" i="5"/>
  <c r="M434" i="5"/>
  <c r="M433" i="5"/>
  <c r="M432" i="5"/>
  <c r="M431" i="5"/>
  <c r="D388" i="5"/>
  <c r="E388" i="5"/>
  <c r="F388" i="5"/>
  <c r="G388" i="5"/>
  <c r="D389" i="5"/>
  <c r="E389" i="5"/>
  <c r="F389" i="5"/>
  <c r="G389" i="5"/>
  <c r="D390" i="5"/>
  <c r="E390" i="5"/>
  <c r="F390" i="5"/>
  <c r="G390" i="5"/>
  <c r="D391" i="5"/>
  <c r="E391" i="5"/>
  <c r="F391" i="5"/>
  <c r="G391" i="5"/>
  <c r="B389" i="5"/>
  <c r="G645" i="5" s="1"/>
  <c r="B390" i="5"/>
  <c r="G651" i="5" s="1"/>
  <c r="B391" i="5"/>
  <c r="G414" i="5" s="1"/>
  <c r="B388" i="5"/>
  <c r="G643" i="5" s="1"/>
  <c r="M353" i="5"/>
  <c r="M354" i="5"/>
  <c r="M355" i="5"/>
  <c r="M356" i="5"/>
  <c r="M357" i="5"/>
  <c r="M358" i="5"/>
  <c r="M359" i="5"/>
  <c r="M360" i="5"/>
  <c r="M361" i="5"/>
  <c r="M362" i="5"/>
  <c r="M363" i="5"/>
  <c r="M364" i="5"/>
  <c r="M365" i="5"/>
  <c r="M366" i="5"/>
  <c r="M367" i="5"/>
  <c r="M368" i="5"/>
  <c r="M369" i="5"/>
  <c r="M370" i="5"/>
  <c r="M371" i="5"/>
  <c r="M352" i="5"/>
  <c r="D348" i="5"/>
  <c r="E348" i="5"/>
  <c r="F348" i="5"/>
  <c r="G348" i="5"/>
  <c r="B348" i="5"/>
  <c r="G353" i="5" s="1"/>
  <c r="D102" i="5"/>
  <c r="E102" i="5"/>
  <c r="F102" i="5"/>
  <c r="G102" i="5"/>
  <c r="D103" i="5"/>
  <c r="E103" i="5"/>
  <c r="F103" i="5"/>
  <c r="G103" i="5"/>
  <c r="D104" i="5"/>
  <c r="E104" i="5"/>
  <c r="F104" i="5"/>
  <c r="G104" i="5"/>
  <c r="D105" i="5"/>
  <c r="E105" i="5"/>
  <c r="F105" i="5"/>
  <c r="G105" i="5"/>
  <c r="D106" i="5"/>
  <c r="E106" i="5"/>
  <c r="F106" i="5"/>
  <c r="G106" i="5"/>
  <c r="D107" i="5"/>
  <c r="E107" i="5"/>
  <c r="F107" i="5"/>
  <c r="G107" i="5"/>
  <c r="D108" i="5"/>
  <c r="E108" i="5"/>
  <c r="F108" i="5"/>
  <c r="G108" i="5"/>
  <c r="D109" i="5"/>
  <c r="E109" i="5"/>
  <c r="F109" i="5"/>
  <c r="G109" i="5"/>
  <c r="D110" i="5"/>
  <c r="E110" i="5"/>
  <c r="F110" i="5"/>
  <c r="G110" i="5"/>
  <c r="B103" i="5"/>
  <c r="G115" i="5" s="1"/>
  <c r="B104" i="5"/>
  <c r="G116" i="5" s="1"/>
  <c r="B105" i="5"/>
  <c r="G119" i="5" s="1"/>
  <c r="B106" i="5"/>
  <c r="G120" i="5" s="1"/>
  <c r="B107" i="5"/>
  <c r="G121" i="5" s="1"/>
  <c r="B108" i="5"/>
  <c r="G124" i="5" s="1"/>
  <c r="B109" i="5"/>
  <c r="B110" i="5"/>
  <c r="G126" i="5" s="1"/>
  <c r="B102" i="5"/>
  <c r="G114" i="5" s="1"/>
  <c r="D147" i="5"/>
  <c r="E147" i="5"/>
  <c r="F147" i="5"/>
  <c r="G147" i="5"/>
  <c r="D148" i="5"/>
  <c r="E148" i="5"/>
  <c r="F148" i="5"/>
  <c r="G148" i="5"/>
  <c r="D149" i="5"/>
  <c r="E149" i="5"/>
  <c r="F149" i="5"/>
  <c r="G149" i="5"/>
  <c r="D150" i="5"/>
  <c r="E150" i="5"/>
  <c r="F150" i="5"/>
  <c r="G150" i="5"/>
  <c r="D151" i="5"/>
  <c r="E151" i="5"/>
  <c r="F151" i="5"/>
  <c r="G151" i="5"/>
  <c r="B148" i="5"/>
  <c r="G166" i="5" s="1"/>
  <c r="B149" i="5"/>
  <c r="G167" i="5" s="1"/>
  <c r="B150" i="5"/>
  <c r="B151" i="5"/>
  <c r="G160" i="5" s="1"/>
  <c r="B147" i="5"/>
  <c r="G161" i="5" s="1"/>
  <c r="D182" i="5"/>
  <c r="E182" i="5"/>
  <c r="F182" i="5"/>
  <c r="G182" i="5"/>
  <c r="D183" i="5"/>
  <c r="E183" i="5"/>
  <c r="F183" i="5"/>
  <c r="G183" i="5"/>
  <c r="D184" i="5"/>
  <c r="E184" i="5"/>
  <c r="F184" i="5"/>
  <c r="G184" i="5"/>
  <c r="D185" i="5"/>
  <c r="E185" i="5"/>
  <c r="F185" i="5"/>
  <c r="G185" i="5"/>
  <c r="D186" i="5"/>
  <c r="E186" i="5"/>
  <c r="F186" i="5"/>
  <c r="G186" i="5"/>
  <c r="D187" i="5"/>
  <c r="E187" i="5"/>
  <c r="F187" i="5"/>
  <c r="G187" i="5"/>
  <c r="B183" i="5"/>
  <c r="G198" i="5" s="1"/>
  <c r="B184" i="5"/>
  <c r="B185" i="5"/>
  <c r="G204" i="5" s="1"/>
  <c r="B186" i="5"/>
  <c r="G199" i="5" s="1"/>
  <c r="B187" i="5"/>
  <c r="G195" i="5" s="1"/>
  <c r="B182" i="5"/>
  <c r="D219" i="5"/>
  <c r="E219" i="5"/>
  <c r="F219" i="5"/>
  <c r="G219" i="5"/>
  <c r="D220" i="5"/>
  <c r="E220" i="5"/>
  <c r="F220" i="5"/>
  <c r="G220" i="5"/>
  <c r="B220" i="5"/>
  <c r="M233" i="5" s="1"/>
  <c r="B219" i="5"/>
  <c r="G238" i="5" s="1"/>
  <c r="D251" i="5"/>
  <c r="F251" i="5"/>
  <c r="G251" i="5"/>
  <c r="M316" i="5"/>
  <c r="M317" i="5"/>
  <c r="M318" i="5"/>
  <c r="M319" i="5"/>
  <c r="M320" i="5"/>
  <c r="M321" i="5"/>
  <c r="M322" i="5"/>
  <c r="M323" i="5"/>
  <c r="M324" i="5"/>
  <c r="M325" i="5"/>
  <c r="M326" i="5"/>
  <c r="M327" i="5"/>
  <c r="M328" i="5"/>
  <c r="M329" i="5"/>
  <c r="M330" i="5"/>
  <c r="M331" i="5"/>
  <c r="M332" i="5"/>
  <c r="M333" i="5"/>
  <c r="M334" i="5"/>
  <c r="M315" i="5"/>
  <c r="G308" i="5"/>
  <c r="G309" i="5"/>
  <c r="G310" i="5"/>
  <c r="G311" i="5"/>
  <c r="G307" i="5"/>
  <c r="G297" i="5"/>
  <c r="G298" i="5"/>
  <c r="G299" i="5"/>
  <c r="G300" i="5"/>
  <c r="G301" i="5"/>
  <c r="G302" i="5"/>
  <c r="G303" i="5"/>
  <c r="G304" i="5"/>
  <c r="G305" i="5"/>
  <c r="G306" i="5"/>
  <c r="G293" i="5"/>
  <c r="G294" i="5"/>
  <c r="G295" i="5"/>
  <c r="G296" i="5"/>
  <c r="G292" i="5"/>
  <c r="M255" i="5"/>
  <c r="G282" i="5"/>
  <c r="E283" i="5"/>
  <c r="G283" i="5"/>
  <c r="G284" i="5"/>
  <c r="G285" i="5"/>
  <c r="G286" i="5"/>
  <c r="G287" i="5"/>
  <c r="G288" i="5"/>
  <c r="E289" i="5"/>
  <c r="G289" i="5"/>
  <c r="D282" i="5"/>
  <c r="D283" i="5"/>
  <c r="D284" i="5"/>
  <c r="D285" i="5"/>
  <c r="D286" i="5"/>
  <c r="D287" i="5"/>
  <c r="D288" i="5"/>
  <c r="D289" i="5"/>
  <c r="B283" i="5"/>
  <c r="G321" i="5" s="1"/>
  <c r="B284" i="5"/>
  <c r="G327" i="5" s="1"/>
  <c r="B285" i="5"/>
  <c r="B286" i="5"/>
  <c r="B287" i="5"/>
  <c r="B288" i="5"/>
  <c r="B289" i="5"/>
  <c r="B282" i="5"/>
  <c r="M256" i="5"/>
  <c r="M257" i="5"/>
  <c r="M258" i="5"/>
  <c r="M259" i="5"/>
  <c r="M260" i="5"/>
  <c r="M261" i="5"/>
  <c r="M262" i="5"/>
  <c r="M263" i="5"/>
  <c r="M264" i="5"/>
  <c r="M265" i="5"/>
  <c r="M266" i="5"/>
  <c r="M267" i="5"/>
  <c r="M268" i="5"/>
  <c r="M269" i="5"/>
  <c r="M193" i="5"/>
  <c r="M194" i="5"/>
  <c r="M195" i="5"/>
  <c r="M196" i="5"/>
  <c r="M197" i="5"/>
  <c r="M198" i="5"/>
  <c r="M199" i="5"/>
  <c r="M200" i="5"/>
  <c r="M201" i="5"/>
  <c r="M202" i="5"/>
  <c r="M203" i="5"/>
  <c r="M204" i="5"/>
  <c r="M205" i="5"/>
  <c r="M206" i="5"/>
  <c r="M192" i="5"/>
  <c r="M156" i="5"/>
  <c r="M157" i="5"/>
  <c r="M158" i="5"/>
  <c r="M159" i="5"/>
  <c r="M160" i="5"/>
  <c r="M161" i="5"/>
  <c r="M162" i="5"/>
  <c r="M163" i="5"/>
  <c r="M164" i="5"/>
  <c r="M165" i="5"/>
  <c r="M166" i="5"/>
  <c r="M167" i="5"/>
  <c r="M168" i="5"/>
  <c r="M169" i="5"/>
  <c r="M155" i="5"/>
  <c r="M115" i="5"/>
  <c r="M116" i="5"/>
  <c r="M117" i="5"/>
  <c r="M118" i="5"/>
  <c r="M119" i="5"/>
  <c r="M120" i="5"/>
  <c r="M121" i="5"/>
  <c r="M122" i="5"/>
  <c r="M123" i="5"/>
  <c r="M124" i="5"/>
  <c r="M125" i="5"/>
  <c r="M126" i="5"/>
  <c r="M127" i="5"/>
  <c r="M128" i="5"/>
  <c r="M114" i="5"/>
  <c r="B45" i="5"/>
  <c r="D45" i="5"/>
  <c r="E45" i="5"/>
  <c r="F45" i="5"/>
  <c r="B46" i="5"/>
  <c r="D46" i="5"/>
  <c r="E46" i="5"/>
  <c r="B47" i="5"/>
  <c r="D47" i="5"/>
  <c r="E47" i="5"/>
  <c r="B48" i="5"/>
  <c r="D48" i="5"/>
  <c r="E48" i="5"/>
  <c r="B49" i="5"/>
  <c r="D49" i="5"/>
  <c r="E49" i="5"/>
  <c r="B50" i="5"/>
  <c r="D50" i="5"/>
  <c r="E50" i="5"/>
  <c r="F50" i="5"/>
  <c r="B51" i="5"/>
  <c r="D51" i="5"/>
  <c r="E51" i="5"/>
  <c r="B52" i="5"/>
  <c r="G75" i="5" s="1"/>
  <c r="D52" i="5"/>
  <c r="E52" i="5"/>
  <c r="B53" i="5"/>
  <c r="D53" i="5"/>
  <c r="E53" i="5"/>
  <c r="B54" i="5"/>
  <c r="D54" i="5"/>
  <c r="E54" i="5"/>
  <c r="B55" i="5"/>
  <c r="D55" i="5"/>
  <c r="E55" i="5"/>
  <c r="F55" i="5"/>
  <c r="B56" i="5"/>
  <c r="D56" i="5"/>
  <c r="E56" i="5"/>
  <c r="B57" i="5"/>
  <c r="D57" i="5"/>
  <c r="E57" i="5"/>
  <c r="B58" i="5"/>
  <c r="D58" i="5"/>
  <c r="E58" i="5"/>
  <c r="B59" i="5"/>
  <c r="D59" i="5"/>
  <c r="E59" i="5"/>
  <c r="B60" i="5"/>
  <c r="D60" i="5"/>
  <c r="E60" i="5"/>
  <c r="F60" i="5"/>
  <c r="B61" i="5"/>
  <c r="D61" i="5"/>
  <c r="E61" i="5"/>
  <c r="B62" i="5"/>
  <c r="D62" i="5"/>
  <c r="E62" i="5"/>
  <c r="B63" i="5"/>
  <c r="D63" i="5"/>
  <c r="E63" i="5"/>
  <c r="B64" i="5"/>
  <c r="D64" i="5"/>
  <c r="E64" i="5"/>
  <c r="B65" i="5"/>
  <c r="D65" i="5"/>
  <c r="E65" i="5"/>
  <c r="F65" i="5"/>
  <c r="B44" i="5"/>
  <c r="C44" i="5"/>
  <c r="D44" i="5"/>
  <c r="E44" i="5"/>
  <c r="B41" i="5"/>
  <c r="C41" i="5"/>
  <c r="D41" i="5"/>
  <c r="E41" i="5"/>
  <c r="F41" i="5"/>
  <c r="B42" i="5"/>
  <c r="C42" i="5"/>
  <c r="D42" i="5"/>
  <c r="E42" i="5"/>
  <c r="B43" i="5"/>
  <c r="C43" i="5"/>
  <c r="D43" i="5"/>
  <c r="E43" i="5"/>
  <c r="D40" i="5"/>
  <c r="E40" i="5"/>
  <c r="F40" i="5"/>
  <c r="B40" i="5"/>
  <c r="G74" i="5" s="1"/>
  <c r="M784" i="1"/>
  <c r="M785" i="1"/>
  <c r="M786" i="1"/>
  <c r="M787" i="1"/>
  <c r="M788" i="1"/>
  <c r="M789" i="1"/>
  <c r="M790" i="1"/>
  <c r="M791" i="1"/>
  <c r="M792" i="1"/>
  <c r="M793" i="1"/>
  <c r="M794" i="1"/>
  <c r="M795" i="1"/>
  <c r="M796" i="1"/>
  <c r="M797" i="1"/>
  <c r="M783" i="1"/>
  <c r="M709" i="1"/>
  <c r="M744" i="1"/>
  <c r="M745" i="1"/>
  <c r="M746" i="1"/>
  <c r="M747" i="1"/>
  <c r="M748" i="1"/>
  <c r="M749" i="1"/>
  <c r="M750" i="1"/>
  <c r="M751" i="1"/>
  <c r="M752" i="1"/>
  <c r="M753" i="1"/>
  <c r="M754" i="1"/>
  <c r="M755" i="1"/>
  <c r="M756" i="1"/>
  <c r="M757" i="1"/>
  <c r="M743" i="1"/>
  <c r="M710" i="1"/>
  <c r="M711" i="1"/>
  <c r="M712" i="1"/>
  <c r="M713" i="1"/>
  <c r="M714" i="1"/>
  <c r="M715" i="1"/>
  <c r="M716" i="1"/>
  <c r="M717" i="1"/>
  <c r="M718" i="1"/>
  <c r="M719" i="1"/>
  <c r="M720" i="1"/>
  <c r="M721" i="1"/>
  <c r="M722" i="1"/>
  <c r="M723" i="1"/>
  <c r="M675" i="1"/>
  <c r="M676" i="1"/>
  <c r="M677" i="1"/>
  <c r="M678" i="1"/>
  <c r="M679" i="1"/>
  <c r="M680" i="1"/>
  <c r="M681" i="1"/>
  <c r="M682" i="1"/>
  <c r="M683" i="1"/>
  <c r="M684" i="1"/>
  <c r="M685" i="1"/>
  <c r="M686" i="1"/>
  <c r="M687" i="1"/>
  <c r="M688" i="1"/>
  <c r="M674" i="1"/>
  <c r="D632" i="1"/>
  <c r="E632" i="1"/>
  <c r="F632" i="1"/>
  <c r="G632" i="1"/>
  <c r="D633" i="1"/>
  <c r="E633" i="1"/>
  <c r="F633" i="1"/>
  <c r="G633" i="1"/>
  <c r="D634" i="1"/>
  <c r="E634" i="1"/>
  <c r="F634" i="1"/>
  <c r="G634" i="1"/>
  <c r="D635" i="1"/>
  <c r="E635" i="1"/>
  <c r="F635" i="1"/>
  <c r="G635" i="1"/>
  <c r="B633" i="1"/>
  <c r="G680" i="1" s="1"/>
  <c r="B634" i="1"/>
  <c r="G649" i="1" s="1"/>
  <c r="B635" i="1"/>
  <c r="G655" i="1" s="1"/>
  <c r="B632" i="1"/>
  <c r="G709" i="1" s="1"/>
  <c r="M614" i="1"/>
  <c r="M613" i="1"/>
  <c r="M612" i="1"/>
  <c r="M611" i="1"/>
  <c r="M610" i="1"/>
  <c r="M609" i="1"/>
  <c r="M608" i="1"/>
  <c r="M607" i="1"/>
  <c r="M606" i="1"/>
  <c r="M605" i="1"/>
  <c r="M604" i="1"/>
  <c r="M603" i="1"/>
  <c r="M602" i="1"/>
  <c r="M601" i="1"/>
  <c r="M600" i="1"/>
  <c r="M599" i="1"/>
  <c r="M598" i="1"/>
  <c r="M597" i="1"/>
  <c r="M596" i="1"/>
  <c r="M595" i="1"/>
  <c r="M560" i="1"/>
  <c r="M579" i="1"/>
  <c r="M578" i="1"/>
  <c r="M577" i="1"/>
  <c r="M576" i="1"/>
  <c r="M575" i="1"/>
  <c r="M574" i="1"/>
  <c r="M573" i="1"/>
  <c r="M572" i="1"/>
  <c r="M571" i="1"/>
  <c r="M570" i="1"/>
  <c r="M569" i="1"/>
  <c r="M568" i="1"/>
  <c r="M567" i="1"/>
  <c r="M566" i="1"/>
  <c r="M565" i="1"/>
  <c r="M564" i="1"/>
  <c r="M563" i="1"/>
  <c r="M562" i="1"/>
  <c r="M561" i="1"/>
  <c r="M509" i="1"/>
  <c r="M510" i="1"/>
  <c r="M511" i="1"/>
  <c r="M512" i="1"/>
  <c r="M513" i="1"/>
  <c r="M514" i="1"/>
  <c r="M515" i="1"/>
  <c r="M516" i="1"/>
  <c r="M517" i="1"/>
  <c r="M518" i="1"/>
  <c r="M519" i="1"/>
  <c r="M520" i="1"/>
  <c r="M521" i="1"/>
  <c r="M522" i="1"/>
  <c r="M523" i="1"/>
  <c r="M449" i="1"/>
  <c r="M479" i="1"/>
  <c r="M480" i="1"/>
  <c r="M481" i="1"/>
  <c r="M482" i="1"/>
  <c r="M483" i="1"/>
  <c r="M484" i="1"/>
  <c r="M485" i="1"/>
  <c r="M486" i="1"/>
  <c r="M487" i="1"/>
  <c r="M488" i="1"/>
  <c r="M489" i="1"/>
  <c r="M490" i="1"/>
  <c r="M491" i="1"/>
  <c r="M492" i="1"/>
  <c r="M478" i="1"/>
  <c r="M450" i="1"/>
  <c r="M451" i="1"/>
  <c r="M452" i="1"/>
  <c r="M453" i="1"/>
  <c r="M454" i="1"/>
  <c r="M455" i="1"/>
  <c r="M456" i="1"/>
  <c r="M457" i="1"/>
  <c r="M458" i="1"/>
  <c r="M459" i="1"/>
  <c r="M460" i="1"/>
  <c r="M461" i="1"/>
  <c r="M462" i="1"/>
  <c r="M463" i="1"/>
  <c r="M415" i="1"/>
  <c r="M416" i="1"/>
  <c r="M417" i="1"/>
  <c r="M418" i="1"/>
  <c r="M419" i="1"/>
  <c r="M420" i="1"/>
  <c r="M421" i="1"/>
  <c r="M422" i="1"/>
  <c r="M423" i="1"/>
  <c r="M424" i="1"/>
  <c r="M425" i="1"/>
  <c r="M426" i="1"/>
  <c r="M427" i="1"/>
  <c r="M428" i="1"/>
  <c r="M414" i="1"/>
  <c r="E372" i="1"/>
  <c r="F372" i="1"/>
  <c r="G372" i="1"/>
  <c r="E373" i="1"/>
  <c r="F373" i="1"/>
  <c r="G373" i="1"/>
  <c r="E374" i="1"/>
  <c r="F374" i="1"/>
  <c r="G374" i="1"/>
  <c r="E375" i="1"/>
  <c r="F375" i="1"/>
  <c r="G375" i="1"/>
  <c r="D372" i="1"/>
  <c r="D373" i="1"/>
  <c r="D374" i="1"/>
  <c r="D375" i="1"/>
  <c r="B373" i="1"/>
  <c r="G602" i="1" s="1"/>
  <c r="B374" i="1"/>
  <c r="G549" i="1" s="1"/>
  <c r="B375" i="1"/>
  <c r="G552" i="1" s="1"/>
  <c r="B372" i="1"/>
  <c r="G512" i="1" s="1"/>
  <c r="M336" i="1"/>
  <c r="M337" i="1"/>
  <c r="M338" i="1"/>
  <c r="M339" i="1"/>
  <c r="M340" i="1"/>
  <c r="M341" i="1"/>
  <c r="M342" i="1"/>
  <c r="M343" i="1"/>
  <c r="M344" i="1"/>
  <c r="M345" i="1"/>
  <c r="M346" i="1"/>
  <c r="M347" i="1"/>
  <c r="M348" i="1"/>
  <c r="M349" i="1"/>
  <c r="M350" i="1"/>
  <c r="M351" i="1"/>
  <c r="M352" i="1"/>
  <c r="M353" i="1"/>
  <c r="M354" i="1"/>
  <c r="M335" i="1"/>
  <c r="G331" i="1"/>
  <c r="D331" i="1"/>
  <c r="E331" i="1"/>
  <c r="F331" i="1"/>
  <c r="B331" i="1"/>
  <c r="G352" i="1" s="1"/>
  <c r="D265" i="1"/>
  <c r="G265" i="1"/>
  <c r="D266" i="1"/>
  <c r="E266" i="1"/>
  <c r="G266" i="1"/>
  <c r="D267" i="1"/>
  <c r="G267" i="1"/>
  <c r="D268" i="1"/>
  <c r="G268" i="1"/>
  <c r="D269" i="1"/>
  <c r="G269" i="1"/>
  <c r="D270" i="1"/>
  <c r="E270" i="1"/>
  <c r="G270" i="1"/>
  <c r="D271" i="1"/>
  <c r="G271" i="1"/>
  <c r="D272" i="1"/>
  <c r="E272" i="1"/>
  <c r="G272" i="1"/>
  <c r="B266" i="1"/>
  <c r="B267" i="1"/>
  <c r="B268" i="1"/>
  <c r="B269" i="1"/>
  <c r="B270" i="1"/>
  <c r="B271" i="1"/>
  <c r="B272" i="1"/>
  <c r="B265" i="1"/>
  <c r="D187" i="1"/>
  <c r="E187" i="1"/>
  <c r="F187" i="1"/>
  <c r="G187" i="1"/>
  <c r="E188" i="1"/>
  <c r="F188" i="1"/>
  <c r="G188" i="1"/>
  <c r="E189" i="1"/>
  <c r="F189" i="1"/>
  <c r="G189" i="1"/>
  <c r="E190" i="1"/>
  <c r="F190" i="1"/>
  <c r="G190" i="1"/>
  <c r="E191" i="1"/>
  <c r="F191" i="1"/>
  <c r="G191" i="1"/>
  <c r="E192" i="1"/>
  <c r="F192" i="1"/>
  <c r="G192" i="1"/>
  <c r="E193" i="1"/>
  <c r="F193" i="1"/>
  <c r="G193" i="1"/>
  <c r="E194" i="1"/>
  <c r="F194" i="1"/>
  <c r="G194" i="1"/>
  <c r="E195" i="1"/>
  <c r="F195" i="1"/>
  <c r="G195" i="1"/>
  <c r="B188" i="1"/>
  <c r="G200" i="1" s="1"/>
  <c r="B189" i="1"/>
  <c r="G201" i="1" s="1"/>
  <c r="B190" i="1"/>
  <c r="G204" i="1" s="1"/>
  <c r="B191" i="1"/>
  <c r="G205" i="1" s="1"/>
  <c r="B192" i="1"/>
  <c r="G206" i="1" s="1"/>
  <c r="B193" i="1"/>
  <c r="B194" i="1"/>
  <c r="G210" i="1" s="1"/>
  <c r="B195" i="1"/>
  <c r="G211" i="1" s="1"/>
  <c r="D226" i="1"/>
  <c r="E226" i="1"/>
  <c r="F226" i="1"/>
  <c r="G226" i="1"/>
  <c r="E227" i="1"/>
  <c r="F227" i="1"/>
  <c r="G227" i="1"/>
  <c r="E228" i="1"/>
  <c r="F228" i="1"/>
  <c r="G228" i="1"/>
  <c r="E229" i="1"/>
  <c r="F229" i="1"/>
  <c r="G229" i="1"/>
  <c r="E230" i="1"/>
  <c r="F230" i="1"/>
  <c r="G230" i="1"/>
  <c r="E231" i="1"/>
  <c r="F231" i="1"/>
  <c r="G231" i="1"/>
  <c r="E232" i="1"/>
  <c r="F232" i="1"/>
  <c r="G232" i="1"/>
  <c r="E233" i="1"/>
  <c r="F233" i="1"/>
  <c r="G233" i="1"/>
  <c r="E234" i="1"/>
  <c r="F234" i="1"/>
  <c r="G234" i="1"/>
  <c r="B227" i="1"/>
  <c r="B228" i="1"/>
  <c r="G240" i="1" s="1"/>
  <c r="B229" i="1"/>
  <c r="G243" i="1" s="1"/>
  <c r="B230" i="1"/>
  <c r="G244" i="1" s="1"/>
  <c r="B231" i="1"/>
  <c r="G245" i="1" s="1"/>
  <c r="B232" i="1"/>
  <c r="G248" i="1" s="1"/>
  <c r="B233" i="1"/>
  <c r="G249" i="1" s="1"/>
  <c r="B234" i="1"/>
  <c r="G250" i="1" s="1"/>
  <c r="M239" i="1"/>
  <c r="M240" i="1"/>
  <c r="M241" i="1"/>
  <c r="M242" i="1"/>
  <c r="M243" i="1"/>
  <c r="M244" i="1"/>
  <c r="M245" i="1"/>
  <c r="M246" i="1"/>
  <c r="M247" i="1"/>
  <c r="M248" i="1"/>
  <c r="M249" i="1"/>
  <c r="M250" i="1"/>
  <c r="M251" i="1"/>
  <c r="M252" i="1"/>
  <c r="M238" i="1"/>
  <c r="M199" i="1"/>
  <c r="M213" i="1"/>
  <c r="M212" i="1"/>
  <c r="M211" i="1"/>
  <c r="M210" i="1"/>
  <c r="M209" i="1"/>
  <c r="M208" i="1"/>
  <c r="M207" i="1"/>
  <c r="M206" i="1"/>
  <c r="M205" i="1"/>
  <c r="M204" i="1"/>
  <c r="M203" i="1"/>
  <c r="M202" i="1"/>
  <c r="M201" i="1"/>
  <c r="M200" i="1"/>
  <c r="M158" i="1"/>
  <c r="M159" i="1"/>
  <c r="M160" i="1"/>
  <c r="M161" i="1"/>
  <c r="M162" i="1"/>
  <c r="M163" i="1"/>
  <c r="M164" i="1"/>
  <c r="M165" i="1"/>
  <c r="M166" i="1"/>
  <c r="M167" i="1"/>
  <c r="M168" i="1"/>
  <c r="M169" i="1"/>
  <c r="M170" i="1"/>
  <c r="M171" i="1"/>
  <c r="M172" i="1"/>
  <c r="B226" i="1"/>
  <c r="G238" i="1" s="1"/>
  <c r="B187" i="1"/>
  <c r="M113" i="1"/>
  <c r="M114" i="1"/>
  <c r="M115" i="1"/>
  <c r="M116" i="1"/>
  <c r="M117" i="1"/>
  <c r="M118" i="1"/>
  <c r="M119" i="1"/>
  <c r="M120" i="1"/>
  <c r="M121" i="1"/>
  <c r="M122" i="1"/>
  <c r="M123" i="1"/>
  <c r="M124" i="1"/>
  <c r="M125" i="1"/>
  <c r="M126" i="1"/>
  <c r="M127" i="1"/>
  <c r="E101" i="1"/>
  <c r="F101" i="1"/>
  <c r="G101" i="1"/>
  <c r="E102" i="1"/>
  <c r="F102" i="1"/>
  <c r="G102" i="1"/>
  <c r="E103" i="1"/>
  <c r="F103" i="1"/>
  <c r="G103" i="1"/>
  <c r="E104" i="1"/>
  <c r="F104" i="1"/>
  <c r="G104" i="1"/>
  <c r="E105" i="1"/>
  <c r="F105" i="1"/>
  <c r="G105" i="1"/>
  <c r="E106" i="1"/>
  <c r="F106" i="1"/>
  <c r="G106" i="1"/>
  <c r="E107" i="1"/>
  <c r="F107" i="1"/>
  <c r="G107" i="1"/>
  <c r="E108" i="1"/>
  <c r="F108" i="1"/>
  <c r="G108" i="1"/>
  <c r="E109" i="1"/>
  <c r="F109" i="1"/>
  <c r="G109" i="1"/>
  <c r="D102" i="1"/>
  <c r="D103" i="1"/>
  <c r="D104" i="1"/>
  <c r="D105" i="1"/>
  <c r="D106" i="1"/>
  <c r="D107" i="1"/>
  <c r="D108" i="1"/>
  <c r="D109" i="1"/>
  <c r="B102" i="1"/>
  <c r="G114" i="1" s="1"/>
  <c r="B103" i="1"/>
  <c r="G115" i="1" s="1"/>
  <c r="B104" i="1"/>
  <c r="B105" i="1"/>
  <c r="G119" i="1" s="1"/>
  <c r="B106" i="1"/>
  <c r="G120" i="1" s="1"/>
  <c r="B107" i="1"/>
  <c r="B108" i="1"/>
  <c r="G124" i="1" s="1"/>
  <c r="B109" i="1"/>
  <c r="G125" i="1" s="1"/>
  <c r="D101" i="1"/>
  <c r="B101" i="1"/>
  <c r="G113" i="1" s="1"/>
  <c r="F44" i="1"/>
  <c r="F49" i="1"/>
  <c r="F54" i="1"/>
  <c r="F59" i="1"/>
  <c r="F64" i="1"/>
  <c r="E40" i="1"/>
  <c r="E41" i="1"/>
  <c r="E42" i="1"/>
  <c r="E43" i="1"/>
  <c r="E44" i="1"/>
  <c r="E45" i="1"/>
  <c r="E46" i="1"/>
  <c r="E47" i="1"/>
  <c r="E48" i="1"/>
  <c r="E49" i="1"/>
  <c r="E50" i="1"/>
  <c r="E51" i="1"/>
  <c r="E52" i="1"/>
  <c r="E53" i="1"/>
  <c r="E54" i="1"/>
  <c r="E55" i="1"/>
  <c r="E56" i="1"/>
  <c r="E57" i="1"/>
  <c r="E58" i="1"/>
  <c r="E59" i="1"/>
  <c r="E60" i="1"/>
  <c r="E61" i="1"/>
  <c r="E62" i="1"/>
  <c r="E63" i="1"/>
  <c r="E64" i="1"/>
  <c r="E39" i="1"/>
  <c r="B40" i="1"/>
  <c r="B41" i="1"/>
  <c r="B42" i="1"/>
  <c r="B43" i="1"/>
  <c r="B44" i="1"/>
  <c r="B45" i="1"/>
  <c r="B46" i="1"/>
  <c r="B47" i="1"/>
  <c r="B48" i="1"/>
  <c r="B49" i="1"/>
  <c r="B50" i="1"/>
  <c r="B51" i="1"/>
  <c r="B52" i="1"/>
  <c r="B53" i="1"/>
  <c r="B54" i="1"/>
  <c r="B55" i="1"/>
  <c r="B56" i="1"/>
  <c r="B57" i="1"/>
  <c r="B58" i="1"/>
  <c r="B59" i="1"/>
  <c r="B60" i="1"/>
  <c r="B61" i="1"/>
  <c r="B62" i="1"/>
  <c r="B63" i="1"/>
  <c r="B64" i="1"/>
  <c r="B39" i="1"/>
  <c r="G147" i="1"/>
  <c r="G148" i="1"/>
  <c r="G149" i="1"/>
  <c r="G150" i="1"/>
  <c r="G151" i="1"/>
  <c r="G152" i="1"/>
  <c r="G153" i="1"/>
  <c r="G154" i="1"/>
  <c r="G146" i="1"/>
  <c r="D147" i="1"/>
  <c r="D148" i="1"/>
  <c r="D149" i="1"/>
  <c r="D150" i="1"/>
  <c r="D151" i="1"/>
  <c r="D152" i="1"/>
  <c r="D153" i="1"/>
  <c r="D154" i="1"/>
  <c r="D146" i="1"/>
  <c r="B154" i="1"/>
  <c r="G170" i="1" s="1"/>
  <c r="B147" i="1"/>
  <c r="G159" i="1" s="1"/>
  <c r="B148" i="1"/>
  <c r="G160" i="1" s="1"/>
  <c r="B149" i="1"/>
  <c r="B150" i="1"/>
  <c r="G164" i="1" s="1"/>
  <c r="B151" i="1"/>
  <c r="G165" i="1" s="1"/>
  <c r="B152" i="1"/>
  <c r="B153" i="1"/>
  <c r="G169" i="1" s="1"/>
  <c r="B146" i="1"/>
  <c r="G157" i="6"/>
  <c r="H226" i="1" s="1"/>
  <c r="G158" i="6"/>
  <c r="H227" i="1" s="1"/>
  <c r="G159" i="6"/>
  <c r="H228" i="1" s="1"/>
  <c r="G160" i="6"/>
  <c r="H229" i="1" s="1"/>
  <c r="G161" i="6"/>
  <c r="H230" i="1" s="1"/>
  <c r="G162" i="6"/>
  <c r="H231" i="1" s="1"/>
  <c r="G163" i="6"/>
  <c r="H232" i="1" s="1"/>
  <c r="G164" i="6"/>
  <c r="H233" i="1" s="1"/>
  <c r="G165" i="6"/>
  <c r="H234" i="1" s="1"/>
  <c r="C158" i="6"/>
  <c r="C159" i="6" s="1"/>
  <c r="C160" i="6" s="1"/>
  <c r="D168" i="6"/>
  <c r="G140" i="6"/>
  <c r="H147" i="1" s="1"/>
  <c r="G141" i="6"/>
  <c r="H148" i="1" s="1"/>
  <c r="G142" i="6"/>
  <c r="H149" i="1" s="1"/>
  <c r="G143" i="6"/>
  <c r="H150" i="1" s="1"/>
  <c r="G144" i="6"/>
  <c r="H151" i="1" s="1"/>
  <c r="G145" i="6"/>
  <c r="H152" i="1" s="1"/>
  <c r="G146" i="6"/>
  <c r="H153" i="1" s="1"/>
  <c r="G147" i="6"/>
  <c r="H154" i="1" s="1"/>
  <c r="G148" i="6"/>
  <c r="H187" i="1" s="1"/>
  <c r="G149" i="6"/>
  <c r="H188" i="1" s="1"/>
  <c r="G150" i="6"/>
  <c r="H189" i="1" s="1"/>
  <c r="G151" i="6"/>
  <c r="H190" i="1" s="1"/>
  <c r="G152" i="6"/>
  <c r="H191" i="1" s="1"/>
  <c r="G154" i="6"/>
  <c r="H193" i="1" s="1"/>
  <c r="G155" i="6"/>
  <c r="H194" i="1" s="1"/>
  <c r="G156" i="6"/>
  <c r="H195" i="1" s="1"/>
  <c r="G139" i="6"/>
  <c r="H146" i="1" s="1"/>
  <c r="G127" i="6"/>
  <c r="H101" i="1" s="1"/>
  <c r="C149" i="6"/>
  <c r="C150" i="6" s="1"/>
  <c r="C151" i="6" s="1"/>
  <c r="G135" i="6"/>
  <c r="H110" i="5" s="1"/>
  <c r="G134" i="6"/>
  <c r="H108" i="1" s="1"/>
  <c r="G133" i="6"/>
  <c r="G131" i="6"/>
  <c r="G130" i="6"/>
  <c r="H105" i="5" s="1"/>
  <c r="G129" i="6"/>
  <c r="H103" i="1" s="1"/>
  <c r="G128" i="6"/>
  <c r="H102" i="1" s="1"/>
  <c r="G183" i="6"/>
  <c r="H220" i="5" s="1"/>
  <c r="G182" i="6"/>
  <c r="H219" i="5" s="1"/>
  <c r="H186" i="5"/>
  <c r="H185" i="5"/>
  <c r="H184" i="5"/>
  <c r="H182" i="5"/>
  <c r="H151" i="5"/>
  <c r="E168" i="6"/>
  <c r="B168" i="6"/>
  <c r="C168" i="6"/>
  <c r="G168" i="6"/>
  <c r="F168" i="6"/>
  <c r="A168" i="6"/>
  <c r="C9" i="4"/>
  <c r="C10" i="4"/>
  <c r="B9" i="4"/>
  <c r="B10" i="4"/>
  <c r="C9" i="1"/>
  <c r="C10" i="1"/>
  <c r="B9" i="1"/>
  <c r="B10" i="1"/>
  <c r="C10" i="5"/>
  <c r="B10" i="5"/>
  <c r="C9" i="5"/>
  <c r="B9" i="5"/>
  <c r="G93" i="4"/>
  <c r="C293" i="5"/>
  <c r="C294" i="5"/>
  <c r="C295" i="5"/>
  <c r="C296" i="5"/>
  <c r="C292" i="5"/>
  <c r="C302" i="4"/>
  <c r="C303" i="4"/>
  <c r="C304" i="4"/>
  <c r="C305" i="4"/>
  <c r="C301" i="4"/>
  <c r="C188" i="4"/>
  <c r="C223" i="4" s="1"/>
  <c r="C189" i="4"/>
  <c r="C224" i="4" s="1"/>
  <c r="C190" i="4"/>
  <c r="C225" i="4"/>
  <c r="C260" i="4" s="1"/>
  <c r="I260" i="4" s="1"/>
  <c r="C191" i="4"/>
  <c r="C226" i="4"/>
  <c r="C187" i="4"/>
  <c r="C222" i="4" s="1"/>
  <c r="C106" i="4"/>
  <c r="C143" i="4" s="1"/>
  <c r="I143" i="4" s="1"/>
  <c r="C107" i="4"/>
  <c r="C144" i="4" s="1"/>
  <c r="I144" i="4" s="1"/>
  <c r="C108" i="4"/>
  <c r="I108" i="4" s="1"/>
  <c r="C109" i="4"/>
  <c r="C146" i="4" s="1"/>
  <c r="I146" i="4" s="1"/>
  <c r="C105" i="4"/>
  <c r="I105" i="4" s="1"/>
  <c r="C67" i="4"/>
  <c r="C307" i="4" s="1"/>
  <c r="C68" i="4"/>
  <c r="C73" i="4" s="1"/>
  <c r="C69" i="4"/>
  <c r="C309" i="4" s="1"/>
  <c r="C70" i="4"/>
  <c r="C196" i="4" s="1"/>
  <c r="C231" i="4" s="1"/>
  <c r="C66" i="4"/>
  <c r="C192" i="4" s="1"/>
  <c r="C227" i="4" s="1"/>
  <c r="C683" i="5"/>
  <c r="C719" i="5"/>
  <c r="I719" i="5"/>
  <c r="C684" i="5"/>
  <c r="I684" i="5"/>
  <c r="C685" i="5"/>
  <c r="I685" i="5"/>
  <c r="C686" i="5"/>
  <c r="I686" i="5"/>
  <c r="C682" i="5"/>
  <c r="I682" i="5"/>
  <c r="G151" i="4"/>
  <c r="G155" i="4"/>
  <c r="G145" i="4"/>
  <c r="G149" i="4"/>
  <c r="G157" i="4"/>
  <c r="G147" i="4"/>
  <c r="G236" i="5"/>
  <c r="M227" i="5"/>
  <c r="G445" i="5"/>
  <c r="G449" i="5"/>
  <c r="G726" i="5"/>
  <c r="G752" i="5"/>
  <c r="G437" i="5"/>
  <c r="G474" i="5"/>
  <c r="G197" i="4"/>
  <c r="H109" i="5"/>
  <c r="G318" i="4"/>
  <c r="G311" i="4"/>
  <c r="G312" i="4"/>
  <c r="G315" i="4"/>
  <c r="G206" i="4"/>
  <c r="G314" i="4"/>
  <c r="G192" i="5"/>
  <c r="G202" i="5"/>
  <c r="G690" i="5"/>
  <c r="G412" i="5"/>
  <c r="M689" i="5"/>
  <c r="M697" i="5"/>
  <c r="G473" i="5"/>
  <c r="G500" i="5"/>
  <c r="G697" i="5"/>
  <c r="M698" i="5"/>
  <c r="G732" i="5"/>
  <c r="G789" i="5"/>
  <c r="G698" i="5"/>
  <c r="M412" i="5"/>
  <c r="G504" i="5"/>
  <c r="G647" i="5"/>
  <c r="G699" i="5"/>
  <c r="M701" i="5"/>
  <c r="G761" i="5"/>
  <c r="M788" i="5"/>
  <c r="G855" i="5"/>
  <c r="G402" i="5"/>
  <c r="M695" i="5"/>
  <c r="G759" i="5"/>
  <c r="G827" i="5"/>
  <c r="G900" i="5"/>
  <c r="G156" i="5"/>
  <c r="G206" i="5"/>
  <c r="G196" i="5"/>
  <c r="G753" i="5"/>
  <c r="G319" i="5"/>
  <c r="G318" i="5"/>
  <c r="G889" i="5"/>
  <c r="G850" i="5"/>
  <c r="G849" i="5"/>
  <c r="G890" i="5"/>
  <c r="G851" i="5"/>
  <c r="G822" i="5"/>
  <c r="M787" i="5"/>
  <c r="G786" i="5"/>
  <c r="G785" i="5"/>
  <c r="G754" i="5"/>
  <c r="G727" i="5"/>
  <c r="M688" i="5"/>
  <c r="G691" i="5"/>
  <c r="G853" i="5"/>
  <c r="G788" i="5"/>
  <c r="G887" i="5"/>
  <c r="G886" i="5"/>
  <c r="G852" i="5"/>
  <c r="G819" i="5"/>
  <c r="G818" i="5"/>
  <c r="M786" i="5"/>
  <c r="G787" i="5"/>
  <c r="G755" i="5"/>
  <c r="G724" i="5"/>
  <c r="G723" i="5"/>
  <c r="M691" i="5"/>
  <c r="M687" i="5"/>
  <c r="G688" i="5"/>
  <c r="G687" i="5"/>
  <c r="G820" i="5"/>
  <c r="M789" i="5"/>
  <c r="M785" i="5"/>
  <c r="G756" i="5"/>
  <c r="G725" i="5"/>
  <c r="M690" i="5"/>
  <c r="G689" i="5"/>
  <c r="G888" i="5"/>
  <c r="G356" i="5"/>
  <c r="G440" i="5"/>
  <c r="G472" i="5"/>
  <c r="G503" i="5"/>
  <c r="G531" i="5"/>
  <c r="G701" i="5"/>
  <c r="M699" i="5"/>
  <c r="M790" i="5"/>
  <c r="G858" i="5"/>
  <c r="G893" i="5"/>
  <c r="G899" i="5"/>
  <c r="G404" i="5"/>
  <c r="M403" i="5"/>
  <c r="G471" i="5"/>
  <c r="G501" i="5"/>
  <c r="M502" i="5"/>
  <c r="G588" i="5"/>
  <c r="G692" i="5"/>
  <c r="G693" i="5"/>
  <c r="G700" i="5"/>
  <c r="M696" i="5"/>
  <c r="M700" i="5"/>
  <c r="G728" i="5"/>
  <c r="G729" i="5"/>
  <c r="G792" i="5"/>
  <c r="M791" i="5"/>
  <c r="G857" i="5"/>
  <c r="G891" i="5"/>
  <c r="G892" i="5"/>
  <c r="G898" i="5"/>
  <c r="G896" i="5"/>
  <c r="G69" i="5"/>
  <c r="G558" i="5"/>
  <c r="G559" i="5"/>
  <c r="G589" i="5"/>
  <c r="G596" i="5"/>
  <c r="G648" i="5"/>
  <c r="G317" i="5"/>
  <c r="M411" i="5"/>
  <c r="G315" i="5"/>
  <c r="G316" i="5"/>
  <c r="G370" i="5"/>
  <c r="M495" i="5"/>
  <c r="M503" i="5"/>
  <c r="G529" i="5"/>
  <c r="G530" i="5"/>
  <c r="G561" i="5"/>
  <c r="G586" i="5"/>
  <c r="G587" i="5"/>
  <c r="G646" i="5"/>
  <c r="G400" i="5"/>
  <c r="G401" i="5"/>
  <c r="M400" i="5"/>
  <c r="M401" i="5"/>
  <c r="G435" i="5"/>
  <c r="G438" i="5"/>
  <c r="G475" i="5"/>
  <c r="G502" i="5"/>
  <c r="M500" i="5"/>
  <c r="M504" i="5"/>
  <c r="G533" i="5"/>
  <c r="G560" i="5"/>
  <c r="G584" i="5"/>
  <c r="G590" i="5"/>
  <c r="G644" i="5"/>
  <c r="G194" i="5"/>
  <c r="G78" i="5"/>
  <c r="G722" i="1"/>
  <c r="G756" i="1"/>
  <c r="G518" i="1"/>
  <c r="G792" i="1"/>
  <c r="G340" i="1"/>
  <c r="G349" i="1"/>
  <c r="D227" i="1"/>
  <c r="C883" i="5"/>
  <c r="C882" i="5"/>
  <c r="C881" i="5"/>
  <c r="C885" i="5"/>
  <c r="C884" i="5"/>
  <c r="C721" i="5"/>
  <c r="I721" i="5"/>
  <c r="C748" i="5"/>
  <c r="C718" i="5"/>
  <c r="C722" i="5"/>
  <c r="C113" i="4"/>
  <c r="I113" i="4" s="1"/>
  <c r="C74" i="4"/>
  <c r="C118" i="4" s="1"/>
  <c r="C195" i="4"/>
  <c r="C230" i="4" s="1"/>
  <c r="C142" i="4"/>
  <c r="I142" i="4" s="1"/>
  <c r="C111" i="4"/>
  <c r="I111" i="4" s="1"/>
  <c r="C110" i="4"/>
  <c r="C147" i="4" s="1"/>
  <c r="I147" i="4" s="1"/>
  <c r="C261" i="4"/>
  <c r="I261" i="4" s="1"/>
  <c r="I226" i="4"/>
  <c r="I107" i="4"/>
  <c r="C720" i="5"/>
  <c r="I683" i="5"/>
  <c r="C750" i="5"/>
  <c r="C783" i="5"/>
  <c r="I718" i="5"/>
  <c r="C747" i="5"/>
  <c r="C781" i="5"/>
  <c r="I748" i="5"/>
  <c r="I720" i="5"/>
  <c r="C749" i="5"/>
  <c r="I722" i="5"/>
  <c r="C751" i="5"/>
  <c r="C148" i="4"/>
  <c r="I148" i="4"/>
  <c r="I750" i="5"/>
  <c r="I781" i="5"/>
  <c r="C814" i="5"/>
  <c r="C784" i="5"/>
  <c r="I751" i="5"/>
  <c r="C780" i="5"/>
  <c r="I747" i="5"/>
  <c r="I749" i="5"/>
  <c r="C782" i="5"/>
  <c r="C816" i="5"/>
  <c r="I783" i="5"/>
  <c r="C817" i="5"/>
  <c r="I784" i="5"/>
  <c r="I814" i="5"/>
  <c r="C845" i="5"/>
  <c r="C815" i="5"/>
  <c r="I782" i="5"/>
  <c r="C847" i="5"/>
  <c r="I816" i="5"/>
  <c r="I780" i="5"/>
  <c r="C813" i="5"/>
  <c r="I847" i="5"/>
  <c r="I845" i="5"/>
  <c r="I813" i="5"/>
  <c r="C844" i="5"/>
  <c r="I815" i="5"/>
  <c r="C846" i="5"/>
  <c r="I817" i="5"/>
  <c r="C848" i="5"/>
  <c r="C396" i="5"/>
  <c r="C397" i="5"/>
  <c r="C398" i="5"/>
  <c r="C399" i="5"/>
  <c r="C395" i="5"/>
  <c r="C433" i="5"/>
  <c r="I433" i="5"/>
  <c r="C641" i="5"/>
  <c r="C583" i="5"/>
  <c r="C606" i="5"/>
  <c r="C435" i="5"/>
  <c r="I435" i="5"/>
  <c r="C585" i="5"/>
  <c r="C608" i="5"/>
  <c r="C643" i="5"/>
  <c r="C431" i="5"/>
  <c r="C466" i="5"/>
  <c r="C581" i="5"/>
  <c r="C604" i="5"/>
  <c r="C639" i="5"/>
  <c r="C432" i="5"/>
  <c r="C467" i="5"/>
  <c r="C582" i="5"/>
  <c r="C605" i="5"/>
  <c r="C640" i="5"/>
  <c r="C434" i="5"/>
  <c r="C469" i="5"/>
  <c r="C584" i="5"/>
  <c r="C607" i="5"/>
  <c r="C642" i="5"/>
  <c r="I846" i="5"/>
  <c r="I848" i="5"/>
  <c r="I844" i="5"/>
  <c r="I397" i="5"/>
  <c r="I396" i="5"/>
  <c r="I395" i="5"/>
  <c r="I399" i="5"/>
  <c r="I398" i="5"/>
  <c r="C470" i="5"/>
  <c r="C499" i="5"/>
  <c r="C468" i="5"/>
  <c r="I468" i="5"/>
  <c r="I432" i="5"/>
  <c r="I434" i="5"/>
  <c r="I431" i="5"/>
  <c r="C496" i="5"/>
  <c r="I467" i="5"/>
  <c r="I469" i="5"/>
  <c r="C498" i="5"/>
  <c r="C495" i="5"/>
  <c r="I466" i="5"/>
  <c r="I470" i="5"/>
  <c r="C497" i="5"/>
  <c r="C526" i="5"/>
  <c r="C527" i="5"/>
  <c r="I498" i="5"/>
  <c r="C524" i="5"/>
  <c r="I495" i="5"/>
  <c r="C525" i="5"/>
  <c r="I496" i="5"/>
  <c r="C528" i="5"/>
  <c r="I499" i="5"/>
  <c r="C115" i="5"/>
  <c r="C156" i="5"/>
  <c r="C116" i="5"/>
  <c r="C157" i="5"/>
  <c r="C117" i="5"/>
  <c r="C158" i="5"/>
  <c r="C118" i="5"/>
  <c r="C159" i="5"/>
  <c r="C114" i="5"/>
  <c r="I114" i="5"/>
  <c r="I70" i="5"/>
  <c r="I71" i="5"/>
  <c r="I72" i="5"/>
  <c r="I73" i="5"/>
  <c r="I69" i="5"/>
  <c r="C75" i="5"/>
  <c r="C76" i="5"/>
  <c r="C77" i="5"/>
  <c r="C78" i="5"/>
  <c r="C74" i="5"/>
  <c r="I497" i="5"/>
  <c r="C691" i="5"/>
  <c r="I691" i="5"/>
  <c r="C301" i="5"/>
  <c r="C690" i="5"/>
  <c r="C300" i="5"/>
  <c r="C689" i="5"/>
  <c r="C725" i="5"/>
  <c r="C299" i="5"/>
  <c r="C687" i="5"/>
  <c r="C297" i="5"/>
  <c r="C688" i="5"/>
  <c r="C298" i="5"/>
  <c r="C82" i="5"/>
  <c r="C403" i="5"/>
  <c r="C554" i="5"/>
  <c r="I525" i="5"/>
  <c r="C555" i="5"/>
  <c r="I526" i="5"/>
  <c r="C81" i="5"/>
  <c r="C304" i="5"/>
  <c r="C402" i="5"/>
  <c r="C83" i="5"/>
  <c r="C404" i="5"/>
  <c r="C119" i="5"/>
  <c r="C160" i="5"/>
  <c r="C197" i="5"/>
  <c r="C400" i="5"/>
  <c r="I75" i="5"/>
  <c r="C401" i="5"/>
  <c r="C557" i="5"/>
  <c r="I528" i="5"/>
  <c r="C553" i="5"/>
  <c r="I524" i="5"/>
  <c r="I527" i="5"/>
  <c r="C556" i="5"/>
  <c r="C194" i="5"/>
  <c r="I157" i="5"/>
  <c r="C193" i="5"/>
  <c r="I156" i="5"/>
  <c r="C196" i="5"/>
  <c r="I159" i="5"/>
  <c r="C195" i="5"/>
  <c r="I158" i="5"/>
  <c r="I118" i="5"/>
  <c r="C155" i="5"/>
  <c r="C122" i="5"/>
  <c r="I117" i="5"/>
  <c r="C123" i="5"/>
  <c r="C121" i="5"/>
  <c r="I116" i="5"/>
  <c r="C120" i="5"/>
  <c r="I115" i="5"/>
  <c r="I77" i="5"/>
  <c r="I74" i="5"/>
  <c r="C79" i="5"/>
  <c r="C302" i="5"/>
  <c r="I78" i="5"/>
  <c r="I76" i="5"/>
  <c r="C80" i="5"/>
  <c r="C380" i="1"/>
  <c r="C415" i="1"/>
  <c r="C381" i="1"/>
  <c r="C539" i="1"/>
  <c r="C562" i="1"/>
  <c r="C382" i="1"/>
  <c r="I382" i="1"/>
  <c r="C383" i="1"/>
  <c r="I383" i="1"/>
  <c r="C384" i="1"/>
  <c r="C644" i="1"/>
  <c r="C385" i="1"/>
  <c r="C543" i="1"/>
  <c r="C566" i="1"/>
  <c r="C386" i="1"/>
  <c r="C421" i="1"/>
  <c r="C387" i="1"/>
  <c r="C647" i="1"/>
  <c r="C388" i="1"/>
  <c r="C546" i="1"/>
  <c r="C569" i="1"/>
  <c r="C389" i="1"/>
  <c r="C547" i="1"/>
  <c r="C570" i="1"/>
  <c r="C390" i="1"/>
  <c r="C548" i="1"/>
  <c r="C571" i="1"/>
  <c r="C391" i="1"/>
  <c r="C651" i="1"/>
  <c r="C392" i="1"/>
  <c r="C550" i="1"/>
  <c r="C573" i="1"/>
  <c r="C393" i="1"/>
  <c r="C428" i="1"/>
  <c r="C394" i="1"/>
  <c r="C395" i="1"/>
  <c r="C396" i="1"/>
  <c r="C397" i="1"/>
  <c r="C398" i="1"/>
  <c r="C379" i="1"/>
  <c r="C537" i="1"/>
  <c r="C560" i="1"/>
  <c r="C276" i="1"/>
  <c r="C299" i="1"/>
  <c r="C277" i="1"/>
  <c r="C300" i="1"/>
  <c r="C278" i="1"/>
  <c r="C301" i="1"/>
  <c r="C279" i="1"/>
  <c r="C302" i="1"/>
  <c r="C280" i="1"/>
  <c r="C303" i="1"/>
  <c r="C281" i="1"/>
  <c r="C304" i="1"/>
  <c r="C282" i="1"/>
  <c r="C305" i="1"/>
  <c r="C283" i="1"/>
  <c r="C306" i="1"/>
  <c r="C284" i="1"/>
  <c r="C307" i="1"/>
  <c r="C285" i="1"/>
  <c r="C308" i="1"/>
  <c r="C286" i="1"/>
  <c r="C309" i="1"/>
  <c r="C287" i="1"/>
  <c r="C310" i="1"/>
  <c r="C288" i="1"/>
  <c r="C311" i="1"/>
  <c r="C289" i="1"/>
  <c r="C312" i="1"/>
  <c r="C290" i="1"/>
  <c r="C313" i="1"/>
  <c r="C291" i="1"/>
  <c r="C314" i="1"/>
  <c r="C292" i="1"/>
  <c r="C315" i="1"/>
  <c r="C293" i="1"/>
  <c r="C316" i="1"/>
  <c r="C294" i="1"/>
  <c r="C317" i="1"/>
  <c r="C275" i="1"/>
  <c r="C298" i="1"/>
  <c r="C114" i="1"/>
  <c r="C159" i="1"/>
  <c r="C115" i="1"/>
  <c r="I115" i="1"/>
  <c r="C116" i="1"/>
  <c r="C161" i="1"/>
  <c r="C117" i="1"/>
  <c r="I117" i="1"/>
  <c r="C118" i="1"/>
  <c r="C163" i="1"/>
  <c r="C119" i="1"/>
  <c r="I119" i="1"/>
  <c r="C120" i="1"/>
  <c r="C165" i="1"/>
  <c r="C121" i="1"/>
  <c r="I121" i="1"/>
  <c r="C122" i="1"/>
  <c r="C167" i="1"/>
  <c r="C123" i="1"/>
  <c r="I123" i="1"/>
  <c r="C124" i="1"/>
  <c r="C169" i="1"/>
  <c r="C125" i="1"/>
  <c r="I125" i="1"/>
  <c r="C126" i="1"/>
  <c r="C171" i="1"/>
  <c r="C127" i="1"/>
  <c r="I127" i="1"/>
  <c r="C113" i="1"/>
  <c r="C158" i="1"/>
  <c r="J736" i="5"/>
  <c r="J737" i="5"/>
  <c r="J738" i="5"/>
  <c r="D736" i="5"/>
  <c r="D737" i="5"/>
  <c r="D738" i="5"/>
  <c r="K734" i="5"/>
  <c r="J734" i="5"/>
  <c r="I734" i="5"/>
  <c r="H734" i="5"/>
  <c r="J717" i="5"/>
  <c r="J454" i="5"/>
  <c r="D454" i="5"/>
  <c r="K452" i="5"/>
  <c r="J452" i="5"/>
  <c r="I452" i="5"/>
  <c r="H452" i="5"/>
  <c r="L432" i="5"/>
  <c r="L433" i="5"/>
  <c r="L434" i="5"/>
  <c r="L435" i="5"/>
  <c r="L436" i="5"/>
  <c r="L437" i="5"/>
  <c r="L438" i="5"/>
  <c r="L439" i="5"/>
  <c r="L440" i="5"/>
  <c r="L441" i="5"/>
  <c r="L442" i="5"/>
  <c r="L443" i="5"/>
  <c r="L444" i="5"/>
  <c r="L445" i="5"/>
  <c r="F432" i="5"/>
  <c r="F433" i="5"/>
  <c r="F434" i="5"/>
  <c r="F435" i="5"/>
  <c r="F436" i="5"/>
  <c r="F437" i="5"/>
  <c r="F438" i="5"/>
  <c r="F439" i="5"/>
  <c r="F440" i="5"/>
  <c r="F441" i="5"/>
  <c r="F442" i="5"/>
  <c r="F443" i="5"/>
  <c r="F444" i="5"/>
  <c r="F445" i="5"/>
  <c r="F446" i="5"/>
  <c r="F447" i="5"/>
  <c r="F448" i="5"/>
  <c r="F449" i="5"/>
  <c r="F450" i="5"/>
  <c r="J430" i="5"/>
  <c r="K135" i="5"/>
  <c r="J135" i="5"/>
  <c r="I135" i="5"/>
  <c r="H135" i="5"/>
  <c r="J113" i="5"/>
  <c r="C6" i="4"/>
  <c r="B8" i="4"/>
  <c r="B7" i="4"/>
  <c r="C8" i="4"/>
  <c r="C7" i="4"/>
  <c r="E332" i="4"/>
  <c r="F332" i="4"/>
  <c r="J354" i="4"/>
  <c r="J355" i="4" s="1"/>
  <c r="D354" i="4"/>
  <c r="D355" i="4" s="1"/>
  <c r="D357" i="4" s="1"/>
  <c r="J345" i="4"/>
  <c r="J346" i="4" s="1"/>
  <c r="D345" i="4"/>
  <c r="D346" i="4"/>
  <c r="D348" i="4" s="1"/>
  <c r="D324" i="4"/>
  <c r="D325" i="4" s="1"/>
  <c r="D326" i="4" s="1"/>
  <c r="D327" i="4" s="1"/>
  <c r="F320" i="4"/>
  <c r="J280" i="4"/>
  <c r="J281" i="4" s="1"/>
  <c r="J283" i="4" s="1"/>
  <c r="D280" i="4"/>
  <c r="D281" i="4" s="1"/>
  <c r="D282" i="4" s="1"/>
  <c r="L258" i="4"/>
  <c r="L259" i="4" s="1"/>
  <c r="L260" i="4" s="1"/>
  <c r="L261" i="4" s="1"/>
  <c r="L262" i="4" s="1"/>
  <c r="L263" i="4" s="1"/>
  <c r="L264" i="4" s="1"/>
  <c r="L265" i="4" s="1"/>
  <c r="L266" i="4" s="1"/>
  <c r="L267" i="4" s="1"/>
  <c r="L268" i="4" s="1"/>
  <c r="L269" i="4" s="1"/>
  <c r="L270" i="4" s="1"/>
  <c r="L271" i="4" s="1"/>
  <c r="L272" i="4" s="1"/>
  <c r="L273" i="4" s="1"/>
  <c r="L274" i="4" s="1"/>
  <c r="L275" i="4" s="1"/>
  <c r="L276" i="4" s="1"/>
  <c r="F258" i="4"/>
  <c r="F259" i="4" s="1"/>
  <c r="F260" i="4" s="1"/>
  <c r="F261" i="4" s="1"/>
  <c r="F262" i="4" s="1"/>
  <c r="F263" i="4" s="1"/>
  <c r="F264" i="4" s="1"/>
  <c r="F265" i="4" s="1"/>
  <c r="F266" i="4" s="1"/>
  <c r="F267" i="4" s="1"/>
  <c r="F268" i="4" s="1"/>
  <c r="F269" i="4" s="1"/>
  <c r="F270" i="4" s="1"/>
  <c r="F271" i="4" s="1"/>
  <c r="F272" i="4" s="1"/>
  <c r="F273" i="4" s="1"/>
  <c r="F274" i="4" s="1"/>
  <c r="F275" i="4" s="1"/>
  <c r="F276" i="4" s="1"/>
  <c r="H257" i="4"/>
  <c r="M256" i="4"/>
  <c r="L256" i="4"/>
  <c r="K256" i="4"/>
  <c r="J256" i="4"/>
  <c r="I256" i="4"/>
  <c r="H256" i="4"/>
  <c r="J245" i="4"/>
  <c r="J246" i="4" s="1"/>
  <c r="D245" i="4"/>
  <c r="D246" i="4"/>
  <c r="D248" i="4" s="1"/>
  <c r="E241" i="4"/>
  <c r="E240" i="4"/>
  <c r="E239" i="4"/>
  <c r="E238" i="4"/>
  <c r="E237" i="4"/>
  <c r="E236" i="4"/>
  <c r="E235" i="4"/>
  <c r="E234" i="4"/>
  <c r="E233" i="4"/>
  <c r="E232" i="4"/>
  <c r="E231" i="4"/>
  <c r="E230" i="4"/>
  <c r="E229" i="4"/>
  <c r="E228" i="4"/>
  <c r="E227" i="4"/>
  <c r="E226" i="4"/>
  <c r="E225" i="4"/>
  <c r="E224" i="4"/>
  <c r="L223" i="4"/>
  <c r="L224" i="4" s="1"/>
  <c r="L225" i="4" s="1"/>
  <c r="L226" i="4" s="1"/>
  <c r="L227" i="4" s="1"/>
  <c r="L228" i="4" s="1"/>
  <c r="L229" i="4" s="1"/>
  <c r="L230" i="4" s="1"/>
  <c r="L231" i="4" s="1"/>
  <c r="L232" i="4" s="1"/>
  <c r="L233" i="4" s="1"/>
  <c r="L234" i="4" s="1"/>
  <c r="L235" i="4" s="1"/>
  <c r="L236" i="4" s="1"/>
  <c r="L237" i="4" s="1"/>
  <c r="L238" i="4" s="1"/>
  <c r="L239" i="4" s="1"/>
  <c r="L240" i="4" s="1"/>
  <c r="L241" i="4" s="1"/>
  <c r="F223" i="4"/>
  <c r="F224" i="4" s="1"/>
  <c r="F225" i="4" s="1"/>
  <c r="F226" i="4" s="1"/>
  <c r="F227" i="4" s="1"/>
  <c r="F228" i="4" s="1"/>
  <c r="F229" i="4" s="1"/>
  <c r="F230" i="4"/>
  <c r="F231" i="4" s="1"/>
  <c r="F232" i="4" s="1"/>
  <c r="F233" i="4" s="1"/>
  <c r="F234" i="4" s="1"/>
  <c r="F235" i="4" s="1"/>
  <c r="F236" i="4" s="1"/>
  <c r="F237" i="4" s="1"/>
  <c r="F238" i="4" s="1"/>
  <c r="F239" i="4" s="1"/>
  <c r="F240" i="4" s="1"/>
  <c r="F241" i="4" s="1"/>
  <c r="E223" i="4"/>
  <c r="H222" i="4"/>
  <c r="M221" i="4"/>
  <c r="L221" i="4"/>
  <c r="K221" i="4"/>
  <c r="J221" i="4"/>
  <c r="I221" i="4"/>
  <c r="H221" i="4"/>
  <c r="D210" i="4"/>
  <c r="D186" i="4"/>
  <c r="D300" i="4" s="1"/>
  <c r="E186" i="4"/>
  <c r="E300" i="4"/>
  <c r="F186" i="4"/>
  <c r="F300" i="4" s="1"/>
  <c r="G186" i="4"/>
  <c r="G300" i="4" s="1"/>
  <c r="C186" i="4"/>
  <c r="C300" i="4" s="1"/>
  <c r="B186" i="4"/>
  <c r="B300" i="4" s="1"/>
  <c r="F93" i="4"/>
  <c r="D137" i="4" s="1"/>
  <c r="G332" i="4"/>
  <c r="H93" i="4"/>
  <c r="H332" i="4" s="1"/>
  <c r="C93" i="4"/>
  <c r="C137" i="4" s="1"/>
  <c r="B93" i="4"/>
  <c r="J165" i="4"/>
  <c r="J166" i="4" s="1"/>
  <c r="J168" i="4" s="1"/>
  <c r="D165" i="4"/>
  <c r="D166" i="4"/>
  <c r="D167" i="4" s="1"/>
  <c r="L143" i="4"/>
  <c r="L144" i="4" s="1"/>
  <c r="L145" i="4" s="1"/>
  <c r="L146" i="4" s="1"/>
  <c r="L147" i="4" s="1"/>
  <c r="L148" i="4" s="1"/>
  <c r="L149" i="4" s="1"/>
  <c r="L150" i="4" s="1"/>
  <c r="L151" i="4" s="1"/>
  <c r="L152" i="4" s="1"/>
  <c r="L153" i="4" s="1"/>
  <c r="L154" i="4" s="1"/>
  <c r="L155" i="4" s="1"/>
  <c r="L156" i="4" s="1"/>
  <c r="L157" i="4" s="1"/>
  <c r="L158" i="4" s="1"/>
  <c r="L159" i="4" s="1"/>
  <c r="L160" i="4" s="1"/>
  <c r="L161" i="4" s="1"/>
  <c r="F143" i="4"/>
  <c r="F144" i="4" s="1"/>
  <c r="F145" i="4" s="1"/>
  <c r="F146" i="4" s="1"/>
  <c r="F147" i="4" s="1"/>
  <c r="F148" i="4" s="1"/>
  <c r="F149" i="4" s="1"/>
  <c r="F150" i="4" s="1"/>
  <c r="F151" i="4" s="1"/>
  <c r="F152" i="4" s="1"/>
  <c r="F153" i="4" s="1"/>
  <c r="F154" i="4" s="1"/>
  <c r="F155" i="4" s="1"/>
  <c r="F156" i="4" s="1"/>
  <c r="F157" i="4" s="1"/>
  <c r="F158" i="4" s="1"/>
  <c r="F159" i="4" s="1"/>
  <c r="F160" i="4" s="1"/>
  <c r="F161" i="4" s="1"/>
  <c r="H142" i="4"/>
  <c r="M141" i="4"/>
  <c r="L141" i="4"/>
  <c r="K141" i="4"/>
  <c r="J141" i="4"/>
  <c r="I141" i="4"/>
  <c r="H141" i="4"/>
  <c r="J128" i="4"/>
  <c r="J129" i="4" s="1"/>
  <c r="J131" i="4" s="1"/>
  <c r="D128" i="4"/>
  <c r="D129" i="4" s="1"/>
  <c r="E126" i="4"/>
  <c r="E278" i="4" s="1"/>
  <c r="K278" i="4" s="1"/>
  <c r="D126" i="4"/>
  <c r="D278" i="4" s="1"/>
  <c r="J278" i="4" s="1"/>
  <c r="D163" i="4"/>
  <c r="J163" i="4" s="1"/>
  <c r="C126" i="4"/>
  <c r="C163" i="4" s="1"/>
  <c r="I163" i="4" s="1"/>
  <c r="B126" i="4"/>
  <c r="B163" i="4" s="1"/>
  <c r="H163" i="4" s="1"/>
  <c r="L106" i="4"/>
  <c r="L107" i="4" s="1"/>
  <c r="L108" i="4" s="1"/>
  <c r="L109" i="4" s="1"/>
  <c r="L110" i="4" s="1"/>
  <c r="L111" i="4" s="1"/>
  <c r="L112" i="4" s="1"/>
  <c r="L113" i="4" s="1"/>
  <c r="L114" i="4" s="1"/>
  <c r="L115" i="4" s="1"/>
  <c r="L116" i="4" s="1"/>
  <c r="L117" i="4" s="1"/>
  <c r="L118" i="4" s="1"/>
  <c r="L119" i="4" s="1"/>
  <c r="L120" i="4" s="1"/>
  <c r="L121" i="4" s="1"/>
  <c r="L122" i="4" s="1"/>
  <c r="L123" i="4" s="1"/>
  <c r="L124" i="4" s="1"/>
  <c r="F106" i="4"/>
  <c r="F107" i="4"/>
  <c r="F108" i="4" s="1"/>
  <c r="F109" i="4" s="1"/>
  <c r="F110" i="4" s="1"/>
  <c r="F111" i="4" s="1"/>
  <c r="F112" i="4" s="1"/>
  <c r="F113" i="4" s="1"/>
  <c r="F114" i="4" s="1"/>
  <c r="F115" i="4" s="1"/>
  <c r="F116" i="4" s="1"/>
  <c r="F117" i="4" s="1"/>
  <c r="F118" i="4" s="1"/>
  <c r="F119" i="4" s="1"/>
  <c r="F120" i="4" s="1"/>
  <c r="F121" i="4" s="1"/>
  <c r="F122" i="4" s="1"/>
  <c r="F123" i="4" s="1"/>
  <c r="F124" i="4" s="1"/>
  <c r="H105" i="4"/>
  <c r="M104" i="4"/>
  <c r="L104" i="4"/>
  <c r="K104" i="4"/>
  <c r="J104" i="4"/>
  <c r="I104" i="4"/>
  <c r="H104" i="4"/>
  <c r="C8" i="5"/>
  <c r="C5" i="1"/>
  <c r="C6" i="1"/>
  <c r="C7" i="1"/>
  <c r="C8" i="1"/>
  <c r="C4" i="1"/>
  <c r="B5" i="1"/>
  <c r="B6" i="1"/>
  <c r="B7" i="1"/>
  <c r="B8" i="1"/>
  <c r="B4" i="1"/>
  <c r="E561" i="1"/>
  <c r="E562" i="1"/>
  <c r="E563" i="1"/>
  <c r="E564" i="1"/>
  <c r="E565" i="1"/>
  <c r="E566" i="1"/>
  <c r="E567" i="1"/>
  <c r="E568" i="1"/>
  <c r="E569" i="1"/>
  <c r="E570" i="1"/>
  <c r="E571" i="1"/>
  <c r="E572" i="1"/>
  <c r="E573" i="1"/>
  <c r="E574" i="1"/>
  <c r="E575" i="1"/>
  <c r="E576" i="1"/>
  <c r="E577" i="1"/>
  <c r="E578" i="1"/>
  <c r="E579" i="1"/>
  <c r="E560" i="1"/>
  <c r="D871" i="5"/>
  <c r="E871" i="5"/>
  <c r="F871" i="5"/>
  <c r="G871" i="5"/>
  <c r="C871" i="5"/>
  <c r="B871" i="5"/>
  <c r="J916" i="5"/>
  <c r="J917" i="5"/>
  <c r="D916" i="5"/>
  <c r="D917" i="5"/>
  <c r="J907" i="5"/>
  <c r="J908" i="5"/>
  <c r="D907" i="5"/>
  <c r="D908" i="5"/>
  <c r="F882" i="5"/>
  <c r="F883" i="5"/>
  <c r="F884" i="5"/>
  <c r="F885" i="5"/>
  <c r="F886" i="5"/>
  <c r="F887" i="5"/>
  <c r="F888" i="5"/>
  <c r="F889" i="5"/>
  <c r="F890" i="5"/>
  <c r="F891" i="5"/>
  <c r="F892" i="5"/>
  <c r="F893" i="5"/>
  <c r="F894" i="5"/>
  <c r="F895" i="5"/>
  <c r="F896" i="5"/>
  <c r="F897" i="5"/>
  <c r="F898" i="5"/>
  <c r="F899" i="5"/>
  <c r="F900" i="5"/>
  <c r="D625" i="5"/>
  <c r="D660" i="5"/>
  <c r="J660" i="5"/>
  <c r="E625" i="5"/>
  <c r="E660" i="5"/>
  <c r="K660" i="5"/>
  <c r="C625" i="5"/>
  <c r="C660" i="5"/>
  <c r="B625" i="5"/>
  <c r="H625" i="5"/>
  <c r="J662" i="5"/>
  <c r="J663" i="5"/>
  <c r="J665" i="5"/>
  <c r="D662" i="5"/>
  <c r="D663" i="5"/>
  <c r="L640" i="5"/>
  <c r="L641" i="5"/>
  <c r="L642" i="5"/>
  <c r="L643" i="5"/>
  <c r="L644" i="5"/>
  <c r="L645" i="5"/>
  <c r="L646" i="5"/>
  <c r="L647" i="5"/>
  <c r="L648" i="5"/>
  <c r="L649" i="5"/>
  <c r="L650" i="5"/>
  <c r="L651" i="5"/>
  <c r="L652" i="5"/>
  <c r="L653" i="5"/>
  <c r="L654" i="5"/>
  <c r="L655" i="5"/>
  <c r="L656" i="5"/>
  <c r="L657" i="5"/>
  <c r="L658" i="5"/>
  <c r="F640" i="5"/>
  <c r="F641" i="5"/>
  <c r="F642" i="5"/>
  <c r="F643" i="5"/>
  <c r="F644" i="5"/>
  <c r="F645" i="5"/>
  <c r="F646" i="5"/>
  <c r="F647" i="5"/>
  <c r="F648" i="5"/>
  <c r="F649" i="5"/>
  <c r="F650" i="5"/>
  <c r="F651" i="5"/>
  <c r="F652" i="5"/>
  <c r="F653" i="5"/>
  <c r="F654" i="5"/>
  <c r="F655" i="5"/>
  <c r="F656" i="5"/>
  <c r="F657" i="5"/>
  <c r="F658" i="5"/>
  <c r="H639" i="5"/>
  <c r="M638" i="5"/>
  <c r="L638" i="5"/>
  <c r="K638" i="5"/>
  <c r="J638" i="5"/>
  <c r="I638" i="5"/>
  <c r="H638" i="5"/>
  <c r="J627" i="5"/>
  <c r="J628" i="5"/>
  <c r="D627" i="5"/>
  <c r="D628" i="5"/>
  <c r="L605" i="5"/>
  <c r="L606" i="5"/>
  <c r="L607" i="5"/>
  <c r="L608" i="5"/>
  <c r="L609" i="5"/>
  <c r="L610" i="5"/>
  <c r="L611" i="5"/>
  <c r="L612" i="5"/>
  <c r="L613" i="5"/>
  <c r="L614" i="5"/>
  <c r="L615" i="5"/>
  <c r="L616" i="5"/>
  <c r="L617" i="5"/>
  <c r="L618" i="5"/>
  <c r="L619" i="5"/>
  <c r="L620" i="5"/>
  <c r="L621" i="5"/>
  <c r="L622" i="5"/>
  <c r="L623" i="5"/>
  <c r="F605" i="5"/>
  <c r="F606" i="5"/>
  <c r="F607" i="5"/>
  <c r="F608" i="5"/>
  <c r="F609" i="5"/>
  <c r="F610" i="5"/>
  <c r="F611" i="5"/>
  <c r="F612" i="5"/>
  <c r="F613" i="5"/>
  <c r="F614" i="5"/>
  <c r="F615" i="5"/>
  <c r="F616" i="5"/>
  <c r="F617" i="5"/>
  <c r="F618" i="5"/>
  <c r="F619" i="5"/>
  <c r="F620" i="5"/>
  <c r="F621" i="5"/>
  <c r="F622" i="5"/>
  <c r="F623" i="5"/>
  <c r="H604" i="5"/>
  <c r="M603" i="5"/>
  <c r="L603" i="5"/>
  <c r="K603" i="5"/>
  <c r="J603" i="5"/>
  <c r="I603" i="5"/>
  <c r="H603" i="5"/>
  <c r="F582" i="5"/>
  <c r="F583" i="5"/>
  <c r="F584" i="5"/>
  <c r="F585" i="5"/>
  <c r="F586" i="5"/>
  <c r="F587" i="5"/>
  <c r="F588" i="5"/>
  <c r="F589" i="5"/>
  <c r="F590" i="5"/>
  <c r="F591" i="5"/>
  <c r="F592" i="5"/>
  <c r="F593" i="5"/>
  <c r="F594" i="5"/>
  <c r="F595" i="5"/>
  <c r="F596" i="5"/>
  <c r="F597" i="5"/>
  <c r="F598" i="5"/>
  <c r="F599" i="5"/>
  <c r="F600" i="5"/>
  <c r="J375" i="5"/>
  <c r="J376" i="5"/>
  <c r="J378" i="5"/>
  <c r="D375" i="5"/>
  <c r="D376" i="5"/>
  <c r="L353" i="5"/>
  <c r="L354" i="5"/>
  <c r="L355" i="5"/>
  <c r="L356" i="5"/>
  <c r="L357" i="5"/>
  <c r="L358" i="5"/>
  <c r="L359" i="5"/>
  <c r="L360" i="5"/>
  <c r="L361" i="5"/>
  <c r="L362" i="5"/>
  <c r="L363" i="5"/>
  <c r="L364" i="5"/>
  <c r="L365" i="5"/>
  <c r="L366" i="5"/>
  <c r="L367" i="5"/>
  <c r="L368" i="5"/>
  <c r="L369" i="5"/>
  <c r="L370" i="5"/>
  <c r="L371" i="5"/>
  <c r="F353" i="5"/>
  <c r="F354" i="5"/>
  <c r="F355" i="5"/>
  <c r="F356" i="5"/>
  <c r="F357" i="5"/>
  <c r="F358" i="5"/>
  <c r="F359" i="5"/>
  <c r="F360" i="5"/>
  <c r="F361" i="5"/>
  <c r="F362" i="5"/>
  <c r="F363" i="5"/>
  <c r="F364" i="5"/>
  <c r="F365" i="5"/>
  <c r="F366" i="5"/>
  <c r="F367" i="5"/>
  <c r="F368" i="5"/>
  <c r="F369" i="5"/>
  <c r="F370" i="5"/>
  <c r="F371" i="5"/>
  <c r="H352" i="5"/>
  <c r="M351" i="5"/>
  <c r="L351" i="5"/>
  <c r="K351" i="5"/>
  <c r="J351" i="5"/>
  <c r="I351" i="5"/>
  <c r="H351" i="5"/>
  <c r="H347" i="5"/>
  <c r="C336" i="5"/>
  <c r="C373" i="5"/>
  <c r="I373" i="5"/>
  <c r="D336" i="5"/>
  <c r="D373" i="5"/>
  <c r="J373" i="5"/>
  <c r="E336" i="5"/>
  <c r="K336" i="5"/>
  <c r="B336" i="5"/>
  <c r="H336" i="5"/>
  <c r="J338" i="5"/>
  <c r="J339" i="5"/>
  <c r="D338" i="5"/>
  <c r="D339" i="5"/>
  <c r="L316" i="5"/>
  <c r="L317" i="5"/>
  <c r="L318" i="5"/>
  <c r="L319" i="5"/>
  <c r="L320" i="5"/>
  <c r="L321" i="5"/>
  <c r="L322" i="5"/>
  <c r="L323" i="5"/>
  <c r="L324" i="5"/>
  <c r="L325" i="5"/>
  <c r="L326" i="5"/>
  <c r="L327" i="5"/>
  <c r="L328" i="5"/>
  <c r="L329" i="5"/>
  <c r="L330" i="5"/>
  <c r="L331" i="5"/>
  <c r="L332" i="5"/>
  <c r="L333" i="5"/>
  <c r="L334" i="5"/>
  <c r="F316" i="5"/>
  <c r="F317" i="5"/>
  <c r="F318" i="5"/>
  <c r="F319" i="5"/>
  <c r="F320" i="5"/>
  <c r="F321" i="5"/>
  <c r="F322" i="5"/>
  <c r="F323" i="5"/>
  <c r="F324" i="5"/>
  <c r="F325" i="5"/>
  <c r="F326" i="5"/>
  <c r="F327" i="5"/>
  <c r="F328" i="5"/>
  <c r="F329" i="5"/>
  <c r="F330" i="5"/>
  <c r="F331" i="5"/>
  <c r="F332" i="5"/>
  <c r="F333" i="5"/>
  <c r="F334" i="5"/>
  <c r="H315" i="5"/>
  <c r="M314" i="5"/>
  <c r="L314" i="5"/>
  <c r="K314" i="5"/>
  <c r="J314" i="5"/>
  <c r="I314" i="5"/>
  <c r="H314" i="5"/>
  <c r="F293" i="5"/>
  <c r="F294" i="5"/>
  <c r="F295" i="5"/>
  <c r="F296" i="5"/>
  <c r="F297" i="5"/>
  <c r="F298" i="5"/>
  <c r="F299" i="5"/>
  <c r="F300" i="5"/>
  <c r="F301" i="5"/>
  <c r="F302" i="5"/>
  <c r="F303" i="5"/>
  <c r="F304" i="5"/>
  <c r="F305" i="5"/>
  <c r="F306" i="5"/>
  <c r="F307" i="5"/>
  <c r="F308" i="5"/>
  <c r="F309" i="5"/>
  <c r="F310" i="5"/>
  <c r="F311" i="5"/>
  <c r="G347" i="5"/>
  <c r="F347" i="5"/>
  <c r="E347" i="5"/>
  <c r="D347" i="5"/>
  <c r="C347" i="5"/>
  <c r="B347" i="5"/>
  <c r="J843" i="5"/>
  <c r="J812" i="5"/>
  <c r="J802" i="5"/>
  <c r="J803" i="5"/>
  <c r="J804" i="5"/>
  <c r="D802" i="5"/>
  <c r="D803" i="5"/>
  <c r="D804" i="5"/>
  <c r="J779" i="5"/>
  <c r="J765" i="5"/>
  <c r="D765" i="5"/>
  <c r="D766" i="5"/>
  <c r="J746" i="5"/>
  <c r="J705" i="5"/>
  <c r="J706" i="5"/>
  <c r="J707" i="5"/>
  <c r="J708" i="5"/>
  <c r="D705" i="5"/>
  <c r="D706" i="5"/>
  <c r="D708" i="5"/>
  <c r="L701" i="5"/>
  <c r="F683" i="5"/>
  <c r="F684" i="5"/>
  <c r="F685" i="5"/>
  <c r="F686" i="5"/>
  <c r="F687" i="5"/>
  <c r="F688" i="5"/>
  <c r="F689" i="5"/>
  <c r="F690" i="5"/>
  <c r="F691" i="5"/>
  <c r="F692" i="5"/>
  <c r="F693" i="5"/>
  <c r="F694" i="5"/>
  <c r="F695" i="5"/>
  <c r="F696" i="5"/>
  <c r="F697" i="5"/>
  <c r="F698" i="5"/>
  <c r="F699" i="5"/>
  <c r="F700" i="5"/>
  <c r="F701" i="5"/>
  <c r="J681" i="5"/>
  <c r="H551" i="5"/>
  <c r="H842" i="5"/>
  <c r="B551" i="5"/>
  <c r="B842" i="5"/>
  <c r="B550" i="5"/>
  <c r="B841" i="5"/>
  <c r="B549" i="5"/>
  <c r="B838" i="5"/>
  <c r="J552" i="5"/>
  <c r="H522" i="5"/>
  <c r="H811" i="5"/>
  <c r="B522" i="5"/>
  <c r="B811" i="5"/>
  <c r="B521" i="5"/>
  <c r="B810" i="5"/>
  <c r="B520" i="5"/>
  <c r="B809" i="5"/>
  <c r="J523" i="5"/>
  <c r="H493" i="5"/>
  <c r="H778" i="5"/>
  <c r="B493" i="5"/>
  <c r="B778" i="5"/>
  <c r="B492" i="5"/>
  <c r="B777" i="5"/>
  <c r="B491" i="5"/>
  <c r="B772" i="5"/>
  <c r="J513" i="5"/>
  <c r="D513" i="5"/>
  <c r="D514" i="5"/>
  <c r="J494" i="5"/>
  <c r="H464" i="5"/>
  <c r="H745" i="5"/>
  <c r="B464" i="5"/>
  <c r="B745" i="5"/>
  <c r="B463" i="5"/>
  <c r="B744" i="5"/>
  <c r="B462" i="5"/>
  <c r="B743" i="5"/>
  <c r="J484" i="5"/>
  <c r="D484" i="5"/>
  <c r="D485" i="5"/>
  <c r="J465" i="5"/>
  <c r="J254" i="5"/>
  <c r="J223" i="5"/>
  <c r="J191" i="5"/>
  <c r="D181" i="5"/>
  <c r="D218" i="5"/>
  <c r="D250" i="5"/>
  <c r="E181" i="5"/>
  <c r="E218" i="5"/>
  <c r="E250" i="5"/>
  <c r="J154" i="5"/>
  <c r="J858" i="1"/>
  <c r="J859" i="1"/>
  <c r="D858" i="1"/>
  <c r="D859" i="1"/>
  <c r="B8" i="5"/>
  <c r="C146" i="5"/>
  <c r="C181" i="5"/>
  <c r="C218" i="5"/>
  <c r="C250" i="5"/>
  <c r="F146" i="5"/>
  <c r="F181" i="5"/>
  <c r="F218" i="5"/>
  <c r="F250" i="5"/>
  <c r="G146" i="5"/>
  <c r="G181" i="5"/>
  <c r="G218" i="5"/>
  <c r="G250" i="5"/>
  <c r="H146" i="5"/>
  <c r="H181" i="5"/>
  <c r="H218" i="5"/>
  <c r="H250" i="5"/>
  <c r="B146" i="5"/>
  <c r="B181" i="5"/>
  <c r="B218" i="5"/>
  <c r="B250" i="5"/>
  <c r="J68" i="5"/>
  <c r="K625" i="5"/>
  <c r="H138" i="4"/>
  <c r="C554" i="1"/>
  <c r="C577" i="1"/>
  <c r="C612" i="1"/>
  <c r="I612" i="1"/>
  <c r="C431" i="1"/>
  <c r="I431" i="1"/>
  <c r="C553" i="1"/>
  <c r="C576" i="1"/>
  <c r="C611" i="1"/>
  <c r="I611" i="1"/>
  <c r="C430" i="1"/>
  <c r="I430" i="1"/>
  <c r="C556" i="1"/>
  <c r="C579" i="1"/>
  <c r="C614" i="1"/>
  <c r="I614" i="1"/>
  <c r="C433" i="1"/>
  <c r="I433" i="1"/>
  <c r="C552" i="1"/>
  <c r="C575" i="1"/>
  <c r="I575" i="1"/>
  <c r="C429" i="1"/>
  <c r="I429" i="1"/>
  <c r="C555" i="1"/>
  <c r="C578" i="1"/>
  <c r="I578" i="1"/>
  <c r="C432" i="1"/>
  <c r="I432" i="1"/>
  <c r="I687" i="5"/>
  <c r="C886" i="5"/>
  <c r="I690" i="5"/>
  <c r="C889" i="5"/>
  <c r="I688" i="5"/>
  <c r="C887" i="5"/>
  <c r="I689" i="5"/>
  <c r="C888" i="5"/>
  <c r="C727" i="5"/>
  <c r="I727" i="5"/>
  <c r="C890" i="5"/>
  <c r="C645" i="5"/>
  <c r="C587" i="5"/>
  <c r="C610" i="5"/>
  <c r="C590" i="5"/>
  <c r="C613" i="5"/>
  <c r="C648" i="5"/>
  <c r="C589" i="5"/>
  <c r="C612" i="5"/>
  <c r="C647" i="5"/>
  <c r="C586" i="5"/>
  <c r="C609" i="5"/>
  <c r="C644" i="5"/>
  <c r="C588" i="5"/>
  <c r="C611" i="5"/>
  <c r="C646" i="5"/>
  <c r="C724" i="5"/>
  <c r="I724" i="5"/>
  <c r="C723" i="5"/>
  <c r="C752" i="5"/>
  <c r="C726" i="5"/>
  <c r="C755" i="5"/>
  <c r="C693" i="5"/>
  <c r="C303" i="5"/>
  <c r="C696" i="5"/>
  <c r="C306" i="5"/>
  <c r="C695" i="5"/>
  <c r="C305" i="5"/>
  <c r="I725" i="5"/>
  <c r="C754" i="5"/>
  <c r="C828" i="1"/>
  <c r="I644" i="1"/>
  <c r="C679" i="1"/>
  <c r="C835" i="1"/>
  <c r="I651" i="1"/>
  <c r="C686" i="1"/>
  <c r="C831" i="1"/>
  <c r="I647" i="1"/>
  <c r="C682" i="1"/>
  <c r="I381" i="1"/>
  <c r="C658" i="1"/>
  <c r="C693" i="1"/>
  <c r="I693" i="1"/>
  <c r="C654" i="1"/>
  <c r="C689" i="1"/>
  <c r="I689" i="1"/>
  <c r="C650" i="1"/>
  <c r="C646" i="1"/>
  <c r="C642" i="1"/>
  <c r="C420" i="1"/>
  <c r="C455" i="1"/>
  <c r="I455" i="1"/>
  <c r="C657" i="1"/>
  <c r="C692" i="1"/>
  <c r="I692" i="1"/>
  <c r="C653" i="1"/>
  <c r="C649" i="1"/>
  <c r="C645" i="1"/>
  <c r="C641" i="1"/>
  <c r="C656" i="1"/>
  <c r="C691" i="1"/>
  <c r="I691" i="1"/>
  <c r="C652" i="1"/>
  <c r="C648" i="1"/>
  <c r="C640" i="1"/>
  <c r="C639" i="1"/>
  <c r="C655" i="1"/>
  <c r="C690" i="1"/>
  <c r="I690" i="1"/>
  <c r="C643" i="1"/>
  <c r="I82" i="5"/>
  <c r="C128" i="5"/>
  <c r="C169" i="5"/>
  <c r="I83" i="5"/>
  <c r="C405" i="5"/>
  <c r="C692" i="5"/>
  <c r="C891" i="5"/>
  <c r="C87" i="5"/>
  <c r="C126" i="5"/>
  <c r="C167" i="5"/>
  <c r="C694" i="5"/>
  <c r="C893" i="5"/>
  <c r="I160" i="5"/>
  <c r="I81" i="5"/>
  <c r="I119" i="5"/>
  <c r="I556" i="5"/>
  <c r="C436" i="5"/>
  <c r="I400" i="5"/>
  <c r="I402" i="5"/>
  <c r="C438" i="5"/>
  <c r="I557" i="5"/>
  <c r="C86" i="5"/>
  <c r="C407" i="5"/>
  <c r="I554" i="5"/>
  <c r="C437" i="5"/>
  <c r="I401" i="5"/>
  <c r="C440" i="5"/>
  <c r="I404" i="5"/>
  <c r="C439" i="5"/>
  <c r="I403" i="5"/>
  <c r="C125" i="5"/>
  <c r="I125" i="5"/>
  <c r="C406" i="5"/>
  <c r="I553" i="5"/>
  <c r="C88" i="5"/>
  <c r="C409" i="5"/>
  <c r="I555" i="5"/>
  <c r="C127" i="5"/>
  <c r="C408" i="5"/>
  <c r="C164" i="5"/>
  <c r="I123" i="5"/>
  <c r="C192" i="5"/>
  <c r="I155" i="5"/>
  <c r="I79" i="5"/>
  <c r="C124" i="5"/>
  <c r="C228" i="5"/>
  <c r="I196" i="5"/>
  <c r="C225" i="5"/>
  <c r="I193" i="5"/>
  <c r="C162" i="5"/>
  <c r="I121" i="5"/>
  <c r="C163" i="5"/>
  <c r="I122" i="5"/>
  <c r="C161" i="5"/>
  <c r="I120" i="5"/>
  <c r="C227" i="5"/>
  <c r="I195" i="5"/>
  <c r="C229" i="5"/>
  <c r="I197" i="5"/>
  <c r="C226" i="5"/>
  <c r="I194" i="5"/>
  <c r="C84" i="5"/>
  <c r="C85" i="5"/>
  <c r="I80" i="5"/>
  <c r="I571" i="1"/>
  <c r="C606" i="1"/>
  <c r="I606" i="1"/>
  <c r="I421" i="1"/>
  <c r="C456" i="1"/>
  <c r="C463" i="1"/>
  <c r="I428" i="1"/>
  <c r="I570" i="1"/>
  <c r="C605" i="1"/>
  <c r="I605" i="1"/>
  <c r="C601" i="1"/>
  <c r="I601" i="1"/>
  <c r="I566" i="1"/>
  <c r="I562" i="1"/>
  <c r="C597" i="1"/>
  <c r="I597" i="1"/>
  <c r="I415" i="1"/>
  <c r="C450" i="1"/>
  <c r="C608" i="1"/>
  <c r="I608" i="1"/>
  <c r="I573" i="1"/>
  <c r="C604" i="1"/>
  <c r="I604" i="1"/>
  <c r="I569" i="1"/>
  <c r="I398" i="1"/>
  <c r="I394" i="1"/>
  <c r="I390" i="1"/>
  <c r="I386" i="1"/>
  <c r="C425" i="1"/>
  <c r="C544" i="1"/>
  <c r="C567" i="1"/>
  <c r="C542" i="1"/>
  <c r="C565" i="1"/>
  <c r="I384" i="1"/>
  <c r="C595" i="1"/>
  <c r="I595" i="1"/>
  <c r="I560" i="1"/>
  <c r="I397" i="1"/>
  <c r="I393" i="1"/>
  <c r="I389" i="1"/>
  <c r="I385" i="1"/>
  <c r="C414" i="1"/>
  <c r="C424" i="1"/>
  <c r="C419" i="1"/>
  <c r="C551" i="1"/>
  <c r="C574" i="1"/>
  <c r="C538" i="1"/>
  <c r="C561" i="1"/>
  <c r="I380" i="1"/>
  <c r="I396" i="1"/>
  <c r="I392" i="1"/>
  <c r="I388" i="1"/>
  <c r="C423" i="1"/>
  <c r="C417" i="1"/>
  <c r="C540" i="1"/>
  <c r="C563" i="1"/>
  <c r="C549" i="1"/>
  <c r="C572" i="1"/>
  <c r="C426" i="1"/>
  <c r="C545" i="1"/>
  <c r="C568" i="1"/>
  <c r="C422" i="1"/>
  <c r="C541" i="1"/>
  <c r="C564" i="1"/>
  <c r="C418" i="1"/>
  <c r="I379" i="1"/>
  <c r="I395" i="1"/>
  <c r="I391" i="1"/>
  <c r="I387" i="1"/>
  <c r="C427" i="1"/>
  <c r="C416" i="1"/>
  <c r="I126" i="1"/>
  <c r="I120" i="1"/>
  <c r="I118" i="1"/>
  <c r="I113" i="1"/>
  <c r="C170" i="1"/>
  <c r="I170" i="1"/>
  <c r="C166" i="1"/>
  <c r="I166" i="1"/>
  <c r="I124" i="1"/>
  <c r="I116" i="1"/>
  <c r="C162" i="1"/>
  <c r="I162" i="1"/>
  <c r="I122" i="1"/>
  <c r="I114" i="1"/>
  <c r="C338" i="1"/>
  <c r="I338" i="1"/>
  <c r="I301" i="1"/>
  <c r="C199" i="1"/>
  <c r="I158" i="1"/>
  <c r="C210" i="1"/>
  <c r="I169" i="1"/>
  <c r="C206" i="1"/>
  <c r="I165" i="1"/>
  <c r="C202" i="1"/>
  <c r="I161" i="1"/>
  <c r="C353" i="1"/>
  <c r="I353" i="1"/>
  <c r="I316" i="1"/>
  <c r="C349" i="1"/>
  <c r="I349" i="1"/>
  <c r="I312" i="1"/>
  <c r="C345" i="1"/>
  <c r="I345" i="1"/>
  <c r="I308" i="1"/>
  <c r="C341" i="1"/>
  <c r="I341" i="1"/>
  <c r="I304" i="1"/>
  <c r="C337" i="1"/>
  <c r="I337" i="1"/>
  <c r="I300" i="1"/>
  <c r="C350" i="1"/>
  <c r="I350" i="1"/>
  <c r="I313" i="1"/>
  <c r="C342" i="1"/>
  <c r="I342" i="1"/>
  <c r="I305" i="1"/>
  <c r="C352" i="1"/>
  <c r="I352" i="1"/>
  <c r="I315" i="1"/>
  <c r="C348" i="1"/>
  <c r="I348" i="1"/>
  <c r="I311" i="1"/>
  <c r="C344" i="1"/>
  <c r="I344" i="1"/>
  <c r="I307" i="1"/>
  <c r="C340" i="1"/>
  <c r="I340" i="1"/>
  <c r="I303" i="1"/>
  <c r="C336" i="1"/>
  <c r="I336" i="1"/>
  <c r="I299" i="1"/>
  <c r="C354" i="1"/>
  <c r="I354" i="1"/>
  <c r="I317" i="1"/>
  <c r="C346" i="1"/>
  <c r="I346" i="1"/>
  <c r="I309" i="1"/>
  <c r="I171" i="1"/>
  <c r="C212" i="1"/>
  <c r="I167" i="1"/>
  <c r="C208" i="1"/>
  <c r="I163" i="1"/>
  <c r="C204" i="1"/>
  <c r="I159" i="1"/>
  <c r="C200" i="1"/>
  <c r="C335" i="1"/>
  <c r="I335" i="1"/>
  <c r="I298" i="1"/>
  <c r="C351" i="1"/>
  <c r="I351" i="1"/>
  <c r="I314" i="1"/>
  <c r="C347" i="1"/>
  <c r="I347" i="1"/>
  <c r="I310" i="1"/>
  <c r="C343" i="1"/>
  <c r="I343" i="1"/>
  <c r="I306" i="1"/>
  <c r="C339" i="1"/>
  <c r="I339" i="1"/>
  <c r="I302" i="1"/>
  <c r="C172" i="1"/>
  <c r="C168" i="1"/>
  <c r="C164" i="1"/>
  <c r="C160" i="1"/>
  <c r="B660" i="5"/>
  <c r="H660" i="5"/>
  <c r="J625" i="5"/>
  <c r="I336" i="5"/>
  <c r="B278" i="4"/>
  <c r="H278" i="4" s="1"/>
  <c r="D332" i="4"/>
  <c r="D356" i="4"/>
  <c r="D283" i="4"/>
  <c r="H126" i="4"/>
  <c r="D919" i="5"/>
  <c r="D918" i="5"/>
  <c r="J910" i="5"/>
  <c r="J909" i="5"/>
  <c r="D910" i="5"/>
  <c r="D909" i="5"/>
  <c r="J919" i="5"/>
  <c r="J918" i="5"/>
  <c r="E373" i="5"/>
  <c r="C629" i="5"/>
  <c r="C628" i="5"/>
  <c r="B373" i="5"/>
  <c r="H373" i="5"/>
  <c r="J336" i="5"/>
  <c r="J630" i="5"/>
  <c r="J629" i="5"/>
  <c r="D664" i="5"/>
  <c r="D665" i="5"/>
  <c r="D630" i="5"/>
  <c r="D629" i="5"/>
  <c r="D377" i="5"/>
  <c r="D378" i="5"/>
  <c r="D341" i="5"/>
  <c r="D340" i="5"/>
  <c r="J341" i="5"/>
  <c r="J340" i="5"/>
  <c r="D861" i="1"/>
  <c r="D860" i="1"/>
  <c r="J861" i="1"/>
  <c r="J860" i="1"/>
  <c r="C613" i="1"/>
  <c r="I613" i="1"/>
  <c r="I579" i="1"/>
  <c r="C610" i="1"/>
  <c r="I610" i="1"/>
  <c r="C308" i="5"/>
  <c r="C130" i="5"/>
  <c r="I130" i="5"/>
  <c r="C311" i="5"/>
  <c r="C133" i="5"/>
  <c r="I133" i="5"/>
  <c r="C309" i="5"/>
  <c r="C131" i="5"/>
  <c r="I131" i="5"/>
  <c r="C310" i="5"/>
  <c r="C132" i="5"/>
  <c r="I132" i="5"/>
  <c r="C307" i="5"/>
  <c r="C129" i="5"/>
  <c r="I129" i="5"/>
  <c r="I577" i="1"/>
  <c r="I576" i="1"/>
  <c r="I723" i="5"/>
  <c r="C756" i="5"/>
  <c r="I756" i="5"/>
  <c r="I420" i="1"/>
  <c r="C484" i="1"/>
  <c r="C515" i="1"/>
  <c r="I515" i="1"/>
  <c r="C731" i="5"/>
  <c r="I731" i="5"/>
  <c r="C894" i="5"/>
  <c r="I696" i="5"/>
  <c r="C895" i="5"/>
  <c r="I693" i="5"/>
  <c r="C892" i="5"/>
  <c r="I726" i="5"/>
  <c r="C753" i="5"/>
  <c r="C786" i="5"/>
  <c r="C593" i="5"/>
  <c r="C616" i="5"/>
  <c r="C651" i="5"/>
  <c r="C653" i="5"/>
  <c r="C595" i="5"/>
  <c r="C618" i="5"/>
  <c r="C594" i="5"/>
  <c r="C617" i="5"/>
  <c r="C652" i="5"/>
  <c r="C592" i="5"/>
  <c r="C615" i="5"/>
  <c r="C650" i="5"/>
  <c r="I405" i="5"/>
  <c r="C649" i="5"/>
  <c r="C591" i="5"/>
  <c r="C614" i="5"/>
  <c r="C729" i="5"/>
  <c r="C758" i="5"/>
  <c r="I695" i="5"/>
  <c r="C732" i="5"/>
  <c r="I732" i="5"/>
  <c r="I126" i="5"/>
  <c r="I128" i="5"/>
  <c r="C166" i="5"/>
  <c r="C203" i="5"/>
  <c r="C441" i="5"/>
  <c r="I441" i="5"/>
  <c r="C701" i="5"/>
  <c r="C900" i="5"/>
  <c r="C699" i="5"/>
  <c r="I87" i="5"/>
  <c r="C787" i="5"/>
  <c r="I754" i="5"/>
  <c r="C785" i="5"/>
  <c r="I752" i="5"/>
  <c r="C788" i="5"/>
  <c r="I755" i="5"/>
  <c r="C827" i="1"/>
  <c r="I643" i="1"/>
  <c r="C678" i="1"/>
  <c r="C832" i="1"/>
  <c r="I648" i="1"/>
  <c r="C683" i="1"/>
  <c r="C829" i="1"/>
  <c r="I645" i="1"/>
  <c r="C680" i="1"/>
  <c r="C838" i="1"/>
  <c r="I654" i="1"/>
  <c r="C839" i="1"/>
  <c r="I655" i="1"/>
  <c r="C836" i="1"/>
  <c r="I652" i="1"/>
  <c r="C687" i="1"/>
  <c r="C833" i="1"/>
  <c r="I649" i="1"/>
  <c r="C684" i="1"/>
  <c r="C677" i="1"/>
  <c r="C826" i="1"/>
  <c r="I642" i="1"/>
  <c r="C842" i="1"/>
  <c r="I658" i="1"/>
  <c r="C714" i="1"/>
  <c r="I679" i="1"/>
  <c r="C823" i="1"/>
  <c r="C674" i="1"/>
  <c r="I639" i="1"/>
  <c r="C840" i="1"/>
  <c r="I656" i="1"/>
  <c r="C837" i="1"/>
  <c r="I653" i="1"/>
  <c r="C688" i="1"/>
  <c r="C681" i="1"/>
  <c r="C830" i="1"/>
  <c r="I646" i="1"/>
  <c r="I686" i="1"/>
  <c r="C721" i="1"/>
  <c r="C824" i="1"/>
  <c r="I640" i="1"/>
  <c r="C675" i="1"/>
  <c r="C825" i="1"/>
  <c r="I641" i="1"/>
  <c r="C676" i="1"/>
  <c r="C841" i="1"/>
  <c r="I657" i="1"/>
  <c r="C685" i="1"/>
  <c r="C834" i="1"/>
  <c r="I650" i="1"/>
  <c r="I682" i="1"/>
  <c r="C717" i="1"/>
  <c r="C410" i="5"/>
  <c r="C446" i="5"/>
  <c r="I446" i="5"/>
  <c r="C697" i="5"/>
  <c r="C896" i="5"/>
  <c r="C730" i="5"/>
  <c r="I694" i="5"/>
  <c r="C411" i="5"/>
  <c r="C447" i="5"/>
  <c r="I447" i="5"/>
  <c r="C698" i="5"/>
  <c r="C897" i="5"/>
  <c r="I692" i="5"/>
  <c r="C728" i="5"/>
  <c r="C413" i="5"/>
  <c r="C449" i="5"/>
  <c r="I449" i="5"/>
  <c r="C700" i="5"/>
  <c r="C899" i="5"/>
  <c r="I437" i="5"/>
  <c r="C472" i="5"/>
  <c r="C442" i="5"/>
  <c r="I406" i="5"/>
  <c r="C443" i="5"/>
  <c r="I407" i="5"/>
  <c r="C473" i="5"/>
  <c r="I438" i="5"/>
  <c r="I88" i="5"/>
  <c r="C414" i="5"/>
  <c r="C450" i="5"/>
  <c r="I450" i="5"/>
  <c r="I439" i="5"/>
  <c r="C474" i="5"/>
  <c r="I643" i="5"/>
  <c r="I608" i="5"/>
  <c r="I641" i="5"/>
  <c r="I606" i="5"/>
  <c r="I639" i="5"/>
  <c r="I604" i="5"/>
  <c r="I440" i="5"/>
  <c r="C475" i="5"/>
  <c r="I86" i="5"/>
  <c r="C412" i="5"/>
  <c r="C448" i="5"/>
  <c r="I448" i="5"/>
  <c r="I642" i="5"/>
  <c r="I607" i="5"/>
  <c r="C168" i="5"/>
  <c r="I127" i="5"/>
  <c r="I640" i="5"/>
  <c r="I605" i="5"/>
  <c r="I436" i="5"/>
  <c r="C471" i="5"/>
  <c r="C444" i="5"/>
  <c r="I408" i="5"/>
  <c r="C445" i="5"/>
  <c r="I409" i="5"/>
  <c r="I85" i="5"/>
  <c r="C204" i="5"/>
  <c r="I167" i="5"/>
  <c r="C199" i="5"/>
  <c r="I162" i="5"/>
  <c r="C201" i="5"/>
  <c r="I164" i="5"/>
  <c r="I84" i="5"/>
  <c r="C260" i="5"/>
  <c r="I229" i="5"/>
  <c r="C258" i="5"/>
  <c r="I227" i="5"/>
  <c r="C200" i="5"/>
  <c r="I163" i="5"/>
  <c r="C256" i="5"/>
  <c r="I225" i="5"/>
  <c r="C224" i="5"/>
  <c r="I192" i="5"/>
  <c r="C206" i="5"/>
  <c r="I169" i="5"/>
  <c r="C257" i="5"/>
  <c r="I226" i="5"/>
  <c r="C198" i="5"/>
  <c r="I161" i="5"/>
  <c r="C259" i="5"/>
  <c r="I228" i="5"/>
  <c r="C165" i="5"/>
  <c r="I124" i="5"/>
  <c r="I427" i="1"/>
  <c r="C462" i="1"/>
  <c r="I563" i="1"/>
  <c r="C598" i="1"/>
  <c r="I598" i="1"/>
  <c r="C485" i="1"/>
  <c r="I456" i="1"/>
  <c r="I418" i="1"/>
  <c r="C453" i="1"/>
  <c r="I426" i="1"/>
  <c r="C461" i="1"/>
  <c r="I417" i="1"/>
  <c r="C452" i="1"/>
  <c r="C459" i="1"/>
  <c r="I424" i="1"/>
  <c r="C600" i="1"/>
  <c r="I600" i="1"/>
  <c r="I565" i="1"/>
  <c r="I425" i="1"/>
  <c r="C460" i="1"/>
  <c r="C454" i="1"/>
  <c r="I419" i="1"/>
  <c r="C599" i="1"/>
  <c r="I599" i="1"/>
  <c r="I564" i="1"/>
  <c r="C607" i="1"/>
  <c r="I607" i="1"/>
  <c r="I572" i="1"/>
  <c r="I423" i="1"/>
  <c r="C458" i="1"/>
  <c r="I414" i="1"/>
  <c r="C449" i="1"/>
  <c r="C603" i="1"/>
  <c r="I603" i="1"/>
  <c r="I568" i="1"/>
  <c r="C492" i="1"/>
  <c r="I463" i="1"/>
  <c r="C451" i="1"/>
  <c r="I416" i="1"/>
  <c r="I422" i="1"/>
  <c r="C457" i="1"/>
  <c r="C596" i="1"/>
  <c r="I596" i="1"/>
  <c r="I561" i="1"/>
  <c r="C609" i="1"/>
  <c r="I609" i="1"/>
  <c r="I574" i="1"/>
  <c r="C602" i="1"/>
  <c r="I602" i="1"/>
  <c r="I567" i="1"/>
  <c r="I450" i="1"/>
  <c r="C479" i="1"/>
  <c r="C207" i="1"/>
  <c r="I207" i="1"/>
  <c r="C211" i="1"/>
  <c r="I211" i="1"/>
  <c r="C203" i="1"/>
  <c r="I203" i="1"/>
  <c r="I164" i="1"/>
  <c r="C205" i="1"/>
  <c r="I168" i="1"/>
  <c r="C209" i="1"/>
  <c r="C239" i="1"/>
  <c r="I239" i="1"/>
  <c r="I200" i="1"/>
  <c r="C247" i="1"/>
  <c r="I247" i="1"/>
  <c r="I208" i="1"/>
  <c r="I206" i="1"/>
  <c r="C245" i="1"/>
  <c r="I245" i="1"/>
  <c r="I199" i="1"/>
  <c r="C238" i="1"/>
  <c r="I238" i="1"/>
  <c r="I172" i="1"/>
  <c r="C213" i="1"/>
  <c r="I160" i="1"/>
  <c r="C201" i="1"/>
  <c r="C243" i="1"/>
  <c r="I243" i="1"/>
  <c r="I204" i="1"/>
  <c r="C251" i="1"/>
  <c r="I251" i="1"/>
  <c r="I212" i="1"/>
  <c r="I202" i="1"/>
  <c r="C241" i="1"/>
  <c r="I241" i="1"/>
  <c r="I210" i="1"/>
  <c r="C249" i="1"/>
  <c r="I249" i="1"/>
  <c r="K373" i="5"/>
  <c r="C627" i="5"/>
  <c r="G813" i="1"/>
  <c r="C813" i="1"/>
  <c r="D813" i="1"/>
  <c r="E813" i="1"/>
  <c r="F813" i="1"/>
  <c r="B813" i="1"/>
  <c r="C5" i="5"/>
  <c r="C6" i="5"/>
  <c r="C7" i="5"/>
  <c r="C4" i="5"/>
  <c r="B5" i="5"/>
  <c r="B6" i="5"/>
  <c r="B7" i="5"/>
  <c r="B4" i="5"/>
  <c r="J418" i="5"/>
  <c r="D418" i="5"/>
  <c r="D419" i="5"/>
  <c r="J394" i="5"/>
  <c r="J849" i="1"/>
  <c r="J850" i="1"/>
  <c r="J852" i="1"/>
  <c r="D849" i="1"/>
  <c r="D850" i="1"/>
  <c r="F824" i="1"/>
  <c r="F825" i="1"/>
  <c r="F826" i="1"/>
  <c r="F827" i="1"/>
  <c r="F828" i="1"/>
  <c r="F829" i="1"/>
  <c r="F830" i="1"/>
  <c r="F831" i="1"/>
  <c r="F832" i="1"/>
  <c r="F833" i="1"/>
  <c r="F834" i="1"/>
  <c r="F835" i="1"/>
  <c r="F836" i="1"/>
  <c r="F837" i="1"/>
  <c r="F838" i="1"/>
  <c r="F839" i="1"/>
  <c r="F840" i="1"/>
  <c r="F841" i="1"/>
  <c r="F842" i="1"/>
  <c r="J618" i="1"/>
  <c r="J619" i="1"/>
  <c r="J621" i="1"/>
  <c r="D618" i="1"/>
  <c r="D619" i="1"/>
  <c r="L596" i="1"/>
  <c r="L597" i="1"/>
  <c r="L598" i="1"/>
  <c r="L599" i="1"/>
  <c r="L600" i="1"/>
  <c r="L601" i="1"/>
  <c r="L602" i="1"/>
  <c r="L603" i="1"/>
  <c r="L604" i="1"/>
  <c r="L605" i="1"/>
  <c r="L606" i="1"/>
  <c r="L607" i="1"/>
  <c r="L608" i="1"/>
  <c r="L609" i="1"/>
  <c r="L610" i="1"/>
  <c r="L611" i="1"/>
  <c r="L612" i="1"/>
  <c r="L613" i="1"/>
  <c r="L614" i="1"/>
  <c r="F596" i="1"/>
  <c r="F597" i="1"/>
  <c r="F598" i="1"/>
  <c r="F599" i="1"/>
  <c r="F600" i="1"/>
  <c r="F601" i="1"/>
  <c r="F602" i="1"/>
  <c r="F603" i="1"/>
  <c r="F604" i="1"/>
  <c r="F605" i="1"/>
  <c r="F606" i="1"/>
  <c r="F607" i="1"/>
  <c r="F608" i="1"/>
  <c r="F609" i="1"/>
  <c r="F610" i="1"/>
  <c r="F611" i="1"/>
  <c r="F612" i="1"/>
  <c r="F613" i="1"/>
  <c r="F614" i="1"/>
  <c r="H595" i="1"/>
  <c r="M594" i="1"/>
  <c r="L594" i="1"/>
  <c r="K594" i="1"/>
  <c r="J594" i="1"/>
  <c r="I594" i="1"/>
  <c r="H594" i="1"/>
  <c r="J358" i="1"/>
  <c r="J359" i="1"/>
  <c r="J361" i="1"/>
  <c r="D358" i="1"/>
  <c r="D359" i="1"/>
  <c r="L336" i="1"/>
  <c r="L337" i="1"/>
  <c r="L338" i="1"/>
  <c r="L339" i="1"/>
  <c r="L340" i="1"/>
  <c r="L341" i="1"/>
  <c r="L342" i="1"/>
  <c r="L343" i="1"/>
  <c r="L344" i="1"/>
  <c r="L345" i="1"/>
  <c r="L346" i="1"/>
  <c r="L347" i="1"/>
  <c r="L348" i="1"/>
  <c r="L349" i="1"/>
  <c r="L350" i="1"/>
  <c r="L351" i="1"/>
  <c r="L352" i="1"/>
  <c r="L353" i="1"/>
  <c r="L354" i="1"/>
  <c r="F336" i="1"/>
  <c r="F337" i="1"/>
  <c r="F338" i="1"/>
  <c r="F339" i="1"/>
  <c r="F340" i="1"/>
  <c r="F341" i="1"/>
  <c r="F342" i="1"/>
  <c r="F343" i="1"/>
  <c r="F344" i="1"/>
  <c r="F345" i="1"/>
  <c r="F346" i="1"/>
  <c r="F347" i="1"/>
  <c r="F348" i="1"/>
  <c r="F349" i="1"/>
  <c r="F350" i="1"/>
  <c r="F351" i="1"/>
  <c r="F352" i="1"/>
  <c r="F353" i="1"/>
  <c r="F354" i="1"/>
  <c r="H335" i="1"/>
  <c r="M334" i="1"/>
  <c r="L334" i="1"/>
  <c r="K334" i="1"/>
  <c r="J334" i="1"/>
  <c r="I334" i="1"/>
  <c r="H334" i="1"/>
  <c r="J121" i="6"/>
  <c r="G206" i="6" s="1"/>
  <c r="J122" i="6"/>
  <c r="J123" i="6"/>
  <c r="G212" i="6" s="1"/>
  <c r="H297" i="4" s="1"/>
  <c r="J120" i="6"/>
  <c r="G194" i="6" s="1"/>
  <c r="D5" i="10"/>
  <c r="H330" i="1"/>
  <c r="C789" i="5"/>
  <c r="C822" i="5"/>
  <c r="I753" i="5"/>
  <c r="C760" i="5"/>
  <c r="C793" i="5"/>
  <c r="I729" i="5"/>
  <c r="G200" i="6"/>
  <c r="H288" i="5" s="1"/>
  <c r="I484" i="1"/>
  <c r="I699" i="5"/>
  <c r="C898" i="5"/>
  <c r="C761" i="5"/>
  <c r="I761" i="5"/>
  <c r="C657" i="5"/>
  <c r="C599" i="5"/>
  <c r="C622" i="5"/>
  <c r="C597" i="5"/>
  <c r="C620" i="5"/>
  <c r="C655" i="5"/>
  <c r="C598" i="5"/>
  <c r="C621" i="5"/>
  <c r="C656" i="5"/>
  <c r="C600" i="5"/>
  <c r="C623" i="5"/>
  <c r="C658" i="5"/>
  <c r="I410" i="5"/>
  <c r="C596" i="5"/>
  <c r="C619" i="5"/>
  <c r="C654" i="5"/>
  <c r="I166" i="5"/>
  <c r="C476" i="5"/>
  <c r="C505" i="5"/>
  <c r="I701" i="5"/>
  <c r="I411" i="5"/>
  <c r="I728" i="5"/>
  <c r="C757" i="5"/>
  <c r="I758" i="5"/>
  <c r="C791" i="5"/>
  <c r="I730" i="5"/>
  <c r="C759" i="5"/>
  <c r="C821" i="5"/>
  <c r="I788" i="5"/>
  <c r="I785" i="5"/>
  <c r="C818" i="5"/>
  <c r="C820" i="5"/>
  <c r="I787" i="5"/>
  <c r="C819" i="5"/>
  <c r="I786" i="5"/>
  <c r="I717" i="1"/>
  <c r="C751" i="1"/>
  <c r="I685" i="1"/>
  <c r="C720" i="1"/>
  <c r="I674" i="1"/>
  <c r="C709" i="1"/>
  <c r="I677" i="1"/>
  <c r="C712" i="1"/>
  <c r="C722" i="1"/>
  <c r="I687" i="1"/>
  <c r="I721" i="1"/>
  <c r="C755" i="1"/>
  <c r="I681" i="1"/>
  <c r="C716" i="1"/>
  <c r="I684" i="1"/>
  <c r="C719" i="1"/>
  <c r="I678" i="1"/>
  <c r="C713" i="1"/>
  <c r="C710" i="1"/>
  <c r="I675" i="1"/>
  <c r="I688" i="1"/>
  <c r="C723" i="1"/>
  <c r="C718" i="1"/>
  <c r="I683" i="1"/>
  <c r="I676" i="1"/>
  <c r="C711" i="1"/>
  <c r="I714" i="1"/>
  <c r="C748" i="1"/>
  <c r="I680" i="1"/>
  <c r="C715" i="1"/>
  <c r="I700" i="5"/>
  <c r="I413" i="5"/>
  <c r="I697" i="5"/>
  <c r="I698" i="5"/>
  <c r="I445" i="5"/>
  <c r="C480" i="5"/>
  <c r="C502" i="5"/>
  <c r="I473" i="5"/>
  <c r="C477" i="5"/>
  <c r="I442" i="5"/>
  <c r="C500" i="5"/>
  <c r="I471" i="5"/>
  <c r="I414" i="5"/>
  <c r="C501" i="5"/>
  <c r="I472" i="5"/>
  <c r="I444" i="5"/>
  <c r="C479" i="5"/>
  <c r="C205" i="5"/>
  <c r="I168" i="5"/>
  <c r="I412" i="5"/>
  <c r="C504" i="5"/>
  <c r="I475" i="5"/>
  <c r="C503" i="5"/>
  <c r="I474" i="5"/>
  <c r="I443" i="5"/>
  <c r="C478" i="5"/>
  <c r="C319" i="5"/>
  <c r="I259" i="5"/>
  <c r="C317" i="5"/>
  <c r="I257" i="5"/>
  <c r="C255" i="5"/>
  <c r="I224" i="5"/>
  <c r="C316" i="5"/>
  <c r="I256" i="5"/>
  <c r="C320" i="5"/>
  <c r="I260" i="5"/>
  <c r="C231" i="5"/>
  <c r="I199" i="5"/>
  <c r="C235" i="5"/>
  <c r="I203" i="5"/>
  <c r="C202" i="5"/>
  <c r="I165" i="5"/>
  <c r="C230" i="5"/>
  <c r="I198" i="5"/>
  <c r="C238" i="5"/>
  <c r="I206" i="5"/>
  <c r="C232" i="5"/>
  <c r="I200" i="5"/>
  <c r="C318" i="5"/>
  <c r="I258" i="5"/>
  <c r="C233" i="5"/>
  <c r="I201" i="5"/>
  <c r="C236" i="5"/>
  <c r="I204" i="5"/>
  <c r="I451" i="1"/>
  <c r="C480" i="1"/>
  <c r="I454" i="1"/>
  <c r="C483" i="1"/>
  <c r="C478" i="1"/>
  <c r="I449" i="1"/>
  <c r="I453" i="1"/>
  <c r="C482" i="1"/>
  <c r="C510" i="1"/>
  <c r="I510" i="1"/>
  <c r="I479" i="1"/>
  <c r="I457" i="1"/>
  <c r="C486" i="1"/>
  <c r="I458" i="1"/>
  <c r="C487" i="1"/>
  <c r="C489" i="1"/>
  <c r="I460" i="1"/>
  <c r="C490" i="1"/>
  <c r="I461" i="1"/>
  <c r="I462" i="1"/>
  <c r="C491" i="1"/>
  <c r="C481" i="1"/>
  <c r="I452" i="1"/>
  <c r="I492" i="1"/>
  <c r="C523" i="1"/>
  <c r="I523" i="1"/>
  <c r="I459" i="1"/>
  <c r="C488" i="1"/>
  <c r="I485" i="1"/>
  <c r="C516" i="1"/>
  <c r="I516" i="1"/>
  <c r="C250" i="1"/>
  <c r="I250" i="1"/>
  <c r="C246" i="1"/>
  <c r="I246" i="1"/>
  <c r="C242" i="1"/>
  <c r="I242" i="1"/>
  <c r="I213" i="1"/>
  <c r="C252" i="1"/>
  <c r="I252" i="1"/>
  <c r="I201" i="1"/>
  <c r="C240" i="1"/>
  <c r="I240" i="1"/>
  <c r="I209" i="1"/>
  <c r="C248" i="1"/>
  <c r="I248" i="1"/>
  <c r="I205" i="1"/>
  <c r="C244" i="1"/>
  <c r="I244" i="1"/>
  <c r="I92" i="5"/>
  <c r="J851" i="1"/>
  <c r="D852" i="1"/>
  <c r="D851" i="1"/>
  <c r="D620" i="1"/>
  <c r="D621" i="1"/>
  <c r="D360" i="1"/>
  <c r="D361" i="1"/>
  <c r="J583" i="1"/>
  <c r="J584" i="1"/>
  <c r="D583" i="1"/>
  <c r="D584" i="1"/>
  <c r="L561" i="1"/>
  <c r="L562" i="1"/>
  <c r="L563" i="1"/>
  <c r="L564" i="1"/>
  <c r="L565" i="1"/>
  <c r="L566" i="1"/>
  <c r="L567" i="1"/>
  <c r="L568" i="1"/>
  <c r="L569" i="1"/>
  <c r="L570" i="1"/>
  <c r="L571" i="1"/>
  <c r="L572" i="1"/>
  <c r="L573" i="1"/>
  <c r="L574" i="1"/>
  <c r="L575" i="1"/>
  <c r="L576" i="1"/>
  <c r="L577" i="1"/>
  <c r="L578" i="1"/>
  <c r="L579" i="1"/>
  <c r="F561" i="1"/>
  <c r="F562" i="1"/>
  <c r="F563" i="1"/>
  <c r="F564" i="1"/>
  <c r="F565" i="1"/>
  <c r="F566" i="1"/>
  <c r="F567" i="1"/>
  <c r="F568" i="1"/>
  <c r="F569" i="1"/>
  <c r="F570" i="1"/>
  <c r="F571" i="1"/>
  <c r="F572" i="1"/>
  <c r="F573" i="1"/>
  <c r="F574" i="1"/>
  <c r="F575" i="1"/>
  <c r="F576" i="1"/>
  <c r="F577" i="1"/>
  <c r="F578" i="1"/>
  <c r="F579" i="1"/>
  <c r="H560" i="1"/>
  <c r="M559" i="1"/>
  <c r="L559" i="1"/>
  <c r="K559" i="1"/>
  <c r="J559" i="1"/>
  <c r="I559" i="1"/>
  <c r="H559" i="1"/>
  <c r="F538" i="1"/>
  <c r="F539" i="1"/>
  <c r="F540" i="1"/>
  <c r="F541" i="1"/>
  <c r="F542" i="1"/>
  <c r="F543" i="1"/>
  <c r="F544" i="1"/>
  <c r="F545" i="1"/>
  <c r="F546" i="1"/>
  <c r="F547" i="1"/>
  <c r="F548" i="1"/>
  <c r="F549" i="1"/>
  <c r="F550" i="1"/>
  <c r="F551" i="1"/>
  <c r="F552" i="1"/>
  <c r="F553" i="1"/>
  <c r="F554" i="1"/>
  <c r="F555" i="1"/>
  <c r="F556" i="1"/>
  <c r="C5" i="4"/>
  <c r="C4" i="4"/>
  <c r="B5" i="4"/>
  <c r="B6" i="4"/>
  <c r="B4" i="4"/>
  <c r="C40" i="1"/>
  <c r="C41" i="1"/>
  <c r="C42" i="1"/>
  <c r="C43" i="1"/>
  <c r="J378" i="1"/>
  <c r="J638" i="1"/>
  <c r="L658" i="1"/>
  <c r="F640" i="1"/>
  <c r="F641" i="1"/>
  <c r="F642" i="1"/>
  <c r="F643" i="1"/>
  <c r="F644" i="1"/>
  <c r="F645" i="1"/>
  <c r="F646" i="1"/>
  <c r="F647" i="1"/>
  <c r="F648" i="1"/>
  <c r="F649" i="1"/>
  <c r="F650" i="1"/>
  <c r="F651" i="1"/>
  <c r="F652" i="1"/>
  <c r="F653" i="1"/>
  <c r="F654" i="1"/>
  <c r="F655" i="1"/>
  <c r="F656" i="1"/>
  <c r="F657" i="1"/>
  <c r="F658" i="1"/>
  <c r="D402" i="1"/>
  <c r="D403" i="1"/>
  <c r="J402" i="1"/>
  <c r="D662" i="1"/>
  <c r="D663" i="1"/>
  <c r="D665" i="1"/>
  <c r="J662" i="1"/>
  <c r="J663" i="1"/>
  <c r="J664" i="1"/>
  <c r="J665" i="1"/>
  <c r="J67" i="1"/>
  <c r="J413" i="1"/>
  <c r="J673" i="1"/>
  <c r="F415" i="1"/>
  <c r="F416" i="1"/>
  <c r="F417" i="1"/>
  <c r="F418" i="1"/>
  <c r="F419" i="1"/>
  <c r="F420" i="1"/>
  <c r="F421" i="1"/>
  <c r="F422" i="1"/>
  <c r="F423" i="1"/>
  <c r="F424" i="1"/>
  <c r="F425" i="1"/>
  <c r="F426" i="1"/>
  <c r="F427" i="1"/>
  <c r="F428" i="1"/>
  <c r="F429" i="1"/>
  <c r="F430" i="1"/>
  <c r="F431" i="1"/>
  <c r="F432" i="1"/>
  <c r="F433" i="1"/>
  <c r="L415" i="1"/>
  <c r="L416" i="1"/>
  <c r="L417" i="1"/>
  <c r="L418" i="1"/>
  <c r="L419" i="1"/>
  <c r="L420" i="1"/>
  <c r="L421" i="1"/>
  <c r="L422" i="1"/>
  <c r="L423" i="1"/>
  <c r="L424" i="1"/>
  <c r="L425" i="1"/>
  <c r="L426" i="1"/>
  <c r="L427" i="1"/>
  <c r="L428" i="1"/>
  <c r="L429" i="1"/>
  <c r="L430" i="1"/>
  <c r="L431" i="1"/>
  <c r="L432" i="1"/>
  <c r="L433" i="1"/>
  <c r="F675" i="1"/>
  <c r="F676" i="1"/>
  <c r="F677" i="1"/>
  <c r="F678" i="1"/>
  <c r="F679" i="1"/>
  <c r="F680" i="1"/>
  <c r="F681" i="1"/>
  <c r="F682" i="1"/>
  <c r="F683" i="1"/>
  <c r="F684" i="1"/>
  <c r="F685" i="1"/>
  <c r="F686" i="1"/>
  <c r="F687" i="1"/>
  <c r="F688" i="1"/>
  <c r="L675" i="1"/>
  <c r="L676" i="1"/>
  <c r="L677" i="1"/>
  <c r="L678" i="1"/>
  <c r="L679" i="1"/>
  <c r="L680" i="1"/>
  <c r="L681" i="1"/>
  <c r="L682" i="1"/>
  <c r="L683" i="1"/>
  <c r="L684" i="1"/>
  <c r="L685" i="1"/>
  <c r="L686" i="1"/>
  <c r="L687" i="1"/>
  <c r="L688" i="1"/>
  <c r="L689" i="1"/>
  <c r="L690" i="1"/>
  <c r="L691" i="1"/>
  <c r="L692" i="1"/>
  <c r="L693" i="1"/>
  <c r="H435" i="1"/>
  <c r="H465" i="1"/>
  <c r="H494" i="1"/>
  <c r="H525" i="1"/>
  <c r="I435" i="1"/>
  <c r="I465" i="1"/>
  <c r="I494" i="1"/>
  <c r="I525" i="1"/>
  <c r="J435" i="1"/>
  <c r="J465" i="1"/>
  <c r="J494" i="1"/>
  <c r="J525" i="1"/>
  <c r="K435" i="1"/>
  <c r="K465" i="1"/>
  <c r="K494" i="1"/>
  <c r="K525" i="1"/>
  <c r="H695" i="1"/>
  <c r="H725" i="1"/>
  <c r="H759" i="1"/>
  <c r="H799" i="1"/>
  <c r="I695" i="1"/>
  <c r="I725" i="1"/>
  <c r="I759" i="1"/>
  <c r="I799" i="1"/>
  <c r="J695" i="1"/>
  <c r="J725" i="1"/>
  <c r="J759" i="1"/>
  <c r="J799" i="1"/>
  <c r="K695" i="1"/>
  <c r="K725" i="1"/>
  <c r="K759" i="1"/>
  <c r="K799" i="1"/>
  <c r="D437" i="1"/>
  <c r="J437" i="1"/>
  <c r="D697" i="1"/>
  <c r="D698" i="1"/>
  <c r="D700" i="1"/>
  <c r="J697" i="1"/>
  <c r="J698" i="1"/>
  <c r="J700" i="1"/>
  <c r="B448" i="1"/>
  <c r="B477" i="1"/>
  <c r="B508" i="1"/>
  <c r="C448" i="1"/>
  <c r="C477" i="1"/>
  <c r="C508" i="1"/>
  <c r="E448" i="1"/>
  <c r="E477" i="1"/>
  <c r="E508" i="1"/>
  <c r="F448" i="1"/>
  <c r="F477" i="1"/>
  <c r="F508" i="1"/>
  <c r="G448" i="1"/>
  <c r="G477" i="1"/>
  <c r="G508" i="1"/>
  <c r="H448" i="1"/>
  <c r="H477" i="1"/>
  <c r="H508" i="1"/>
  <c r="I448" i="1"/>
  <c r="I477" i="1"/>
  <c r="I508" i="1"/>
  <c r="J448" i="1"/>
  <c r="K448" i="1"/>
  <c r="K477" i="1"/>
  <c r="K508" i="1"/>
  <c r="L448" i="1"/>
  <c r="L477" i="1"/>
  <c r="L508" i="1"/>
  <c r="M448" i="1"/>
  <c r="M477" i="1"/>
  <c r="M508" i="1"/>
  <c r="B708" i="1"/>
  <c r="B742" i="1"/>
  <c r="B782" i="1"/>
  <c r="C708" i="1"/>
  <c r="C742" i="1"/>
  <c r="C782" i="1"/>
  <c r="E708" i="1"/>
  <c r="E742" i="1"/>
  <c r="E782" i="1"/>
  <c r="F708" i="1"/>
  <c r="F742" i="1"/>
  <c r="F782" i="1"/>
  <c r="G708" i="1"/>
  <c r="G742" i="1"/>
  <c r="G782" i="1"/>
  <c r="H708" i="1"/>
  <c r="H742" i="1"/>
  <c r="H782" i="1"/>
  <c r="I708" i="1"/>
  <c r="I742" i="1"/>
  <c r="I782" i="1"/>
  <c r="J708" i="1"/>
  <c r="K708" i="1"/>
  <c r="K742" i="1"/>
  <c r="K782" i="1"/>
  <c r="L708" i="1"/>
  <c r="L742" i="1"/>
  <c r="L782" i="1"/>
  <c r="M708" i="1"/>
  <c r="M742" i="1"/>
  <c r="M782" i="1"/>
  <c r="F450" i="1"/>
  <c r="F451" i="1"/>
  <c r="F452" i="1"/>
  <c r="F453" i="1"/>
  <c r="F454" i="1"/>
  <c r="F455" i="1"/>
  <c r="F456" i="1"/>
  <c r="F457" i="1"/>
  <c r="F458" i="1"/>
  <c r="F459" i="1"/>
  <c r="F460" i="1"/>
  <c r="F461" i="1"/>
  <c r="F462" i="1"/>
  <c r="F463" i="1"/>
  <c r="L450" i="1"/>
  <c r="L451" i="1"/>
  <c r="L452" i="1"/>
  <c r="L453" i="1"/>
  <c r="L454" i="1"/>
  <c r="L455" i="1"/>
  <c r="L456" i="1"/>
  <c r="L457" i="1"/>
  <c r="L458" i="1"/>
  <c r="L459" i="1"/>
  <c r="L460" i="1"/>
  <c r="L461" i="1"/>
  <c r="L462" i="1"/>
  <c r="L463" i="1"/>
  <c r="F710" i="1"/>
  <c r="F711" i="1"/>
  <c r="F712" i="1"/>
  <c r="F713" i="1"/>
  <c r="F714" i="1"/>
  <c r="F715" i="1"/>
  <c r="F716" i="1"/>
  <c r="F717" i="1"/>
  <c r="F718" i="1"/>
  <c r="F719" i="1"/>
  <c r="F720" i="1"/>
  <c r="F721" i="1"/>
  <c r="F722" i="1"/>
  <c r="F723" i="1"/>
  <c r="L710" i="1"/>
  <c r="L711" i="1"/>
  <c r="L712" i="1"/>
  <c r="L713" i="1"/>
  <c r="L714" i="1"/>
  <c r="L715" i="1"/>
  <c r="L716" i="1"/>
  <c r="L717" i="1"/>
  <c r="L718" i="1"/>
  <c r="L719" i="1"/>
  <c r="L720" i="1"/>
  <c r="L721" i="1"/>
  <c r="L722" i="1"/>
  <c r="L723" i="1"/>
  <c r="J112" i="1"/>
  <c r="B465" i="1"/>
  <c r="B494" i="1"/>
  <c r="B525" i="1"/>
  <c r="C465" i="1"/>
  <c r="C494" i="1"/>
  <c r="C525" i="1"/>
  <c r="D465" i="1"/>
  <c r="D494" i="1"/>
  <c r="D525" i="1"/>
  <c r="E465" i="1"/>
  <c r="E494" i="1"/>
  <c r="E525" i="1"/>
  <c r="B725" i="1"/>
  <c r="B759" i="1"/>
  <c r="B799" i="1"/>
  <c r="C725" i="1"/>
  <c r="C759" i="1"/>
  <c r="C799" i="1"/>
  <c r="D725" i="1"/>
  <c r="D759" i="1"/>
  <c r="D799" i="1"/>
  <c r="E725" i="1"/>
  <c r="E759" i="1"/>
  <c r="E799" i="1"/>
  <c r="D727" i="1"/>
  <c r="J727" i="1"/>
  <c r="J728" i="1"/>
  <c r="J729" i="1"/>
  <c r="H134" i="1"/>
  <c r="H174" i="1"/>
  <c r="H215" i="1"/>
  <c r="H254" i="1"/>
  <c r="H319" i="1"/>
  <c r="I134" i="1"/>
  <c r="I174" i="1"/>
  <c r="I215" i="1"/>
  <c r="I254" i="1"/>
  <c r="I319" i="1"/>
  <c r="J134" i="1"/>
  <c r="J174" i="1"/>
  <c r="J215" i="1"/>
  <c r="J254" i="1"/>
  <c r="J319" i="1"/>
  <c r="K134" i="1"/>
  <c r="K174" i="1"/>
  <c r="K215" i="1"/>
  <c r="K254" i="1"/>
  <c r="K319" i="1"/>
  <c r="D728" i="1"/>
  <c r="D729" i="1"/>
  <c r="J477" i="1"/>
  <c r="J742" i="1"/>
  <c r="B145" i="1"/>
  <c r="B186" i="1"/>
  <c r="B225" i="1"/>
  <c r="B264" i="1"/>
  <c r="B330" i="1"/>
  <c r="C145" i="1"/>
  <c r="C186" i="1"/>
  <c r="C225" i="1"/>
  <c r="C264" i="1"/>
  <c r="C330" i="1"/>
  <c r="D145" i="1"/>
  <c r="D186" i="1"/>
  <c r="D225" i="1"/>
  <c r="D264" i="1"/>
  <c r="D330" i="1"/>
  <c r="E145" i="1"/>
  <c r="E186" i="1"/>
  <c r="E225" i="1"/>
  <c r="E264" i="1"/>
  <c r="E330" i="1"/>
  <c r="F145" i="1"/>
  <c r="F186" i="1"/>
  <c r="F225" i="1"/>
  <c r="F264" i="1"/>
  <c r="F330" i="1"/>
  <c r="G145" i="1"/>
  <c r="G186" i="1"/>
  <c r="G225" i="1"/>
  <c r="G264" i="1"/>
  <c r="G330" i="1"/>
  <c r="F479" i="1"/>
  <c r="F480" i="1"/>
  <c r="F481" i="1"/>
  <c r="F482" i="1"/>
  <c r="F483" i="1"/>
  <c r="F484" i="1"/>
  <c r="F485" i="1"/>
  <c r="F486" i="1"/>
  <c r="F487" i="1"/>
  <c r="F488" i="1"/>
  <c r="F489" i="1"/>
  <c r="F490" i="1"/>
  <c r="F491" i="1"/>
  <c r="F492" i="1"/>
  <c r="L479" i="1"/>
  <c r="L480" i="1"/>
  <c r="L481" i="1"/>
  <c r="L482" i="1"/>
  <c r="L483" i="1"/>
  <c r="L484" i="1"/>
  <c r="L485" i="1"/>
  <c r="L486" i="1"/>
  <c r="L487" i="1"/>
  <c r="L488" i="1"/>
  <c r="L489" i="1"/>
  <c r="L490" i="1"/>
  <c r="L491" i="1"/>
  <c r="L492" i="1"/>
  <c r="F744" i="1"/>
  <c r="F745" i="1"/>
  <c r="F746" i="1"/>
  <c r="F747" i="1"/>
  <c r="F748" i="1"/>
  <c r="F749" i="1"/>
  <c r="F750" i="1"/>
  <c r="F751" i="1"/>
  <c r="F752" i="1"/>
  <c r="F753" i="1"/>
  <c r="F754" i="1"/>
  <c r="F755" i="1"/>
  <c r="F756" i="1"/>
  <c r="F757" i="1"/>
  <c r="L744" i="1"/>
  <c r="L745" i="1"/>
  <c r="L746" i="1"/>
  <c r="L747" i="1"/>
  <c r="L748" i="1"/>
  <c r="L749" i="1"/>
  <c r="L750" i="1"/>
  <c r="L751" i="1"/>
  <c r="L752" i="1"/>
  <c r="L753" i="1"/>
  <c r="L754" i="1"/>
  <c r="L755" i="1"/>
  <c r="L756" i="1"/>
  <c r="L757" i="1"/>
  <c r="B157" i="1"/>
  <c r="B198" i="1"/>
  <c r="B237" i="1"/>
  <c r="C157" i="1"/>
  <c r="C198" i="1"/>
  <c r="C237" i="1"/>
  <c r="E157" i="1"/>
  <c r="E198" i="1"/>
  <c r="E237" i="1"/>
  <c r="F157" i="1"/>
  <c r="F198" i="1"/>
  <c r="F237" i="1"/>
  <c r="G157" i="1"/>
  <c r="G198" i="1"/>
  <c r="G237" i="1"/>
  <c r="H157" i="1"/>
  <c r="H198" i="1"/>
  <c r="H237" i="1"/>
  <c r="I157" i="1"/>
  <c r="I198" i="1"/>
  <c r="I237" i="1"/>
  <c r="J157" i="1"/>
  <c r="K157" i="1"/>
  <c r="K198" i="1"/>
  <c r="K237" i="1"/>
  <c r="L157" i="1"/>
  <c r="L198" i="1"/>
  <c r="L237" i="1"/>
  <c r="M157" i="1"/>
  <c r="M198" i="1"/>
  <c r="M237" i="1"/>
  <c r="D496" i="1"/>
  <c r="D497" i="1"/>
  <c r="D498" i="1"/>
  <c r="J496" i="1"/>
  <c r="J497" i="1"/>
  <c r="J498" i="1"/>
  <c r="D765" i="1"/>
  <c r="D766" i="1"/>
  <c r="D767" i="1"/>
  <c r="J765" i="1"/>
  <c r="J766" i="1"/>
  <c r="J767" i="1"/>
  <c r="J508" i="1"/>
  <c r="J782" i="1"/>
  <c r="B174" i="1"/>
  <c r="B215" i="1"/>
  <c r="B254" i="1"/>
  <c r="B319" i="1"/>
  <c r="B356" i="1"/>
  <c r="H356" i="1"/>
  <c r="C174" i="1"/>
  <c r="C215" i="1"/>
  <c r="C254" i="1"/>
  <c r="C319" i="1"/>
  <c r="C356" i="1"/>
  <c r="I356" i="1"/>
  <c r="D174" i="1"/>
  <c r="E174" i="1"/>
  <c r="E215" i="1"/>
  <c r="E254" i="1"/>
  <c r="E319" i="1"/>
  <c r="E356" i="1"/>
  <c r="K356" i="1"/>
  <c r="F510" i="1"/>
  <c r="F511" i="1"/>
  <c r="F512" i="1"/>
  <c r="F513" i="1"/>
  <c r="F514" i="1"/>
  <c r="F515" i="1"/>
  <c r="F516" i="1"/>
  <c r="F517" i="1"/>
  <c r="F518" i="1"/>
  <c r="F519" i="1"/>
  <c r="F520" i="1"/>
  <c r="F521" i="1"/>
  <c r="F522" i="1"/>
  <c r="F523" i="1"/>
  <c r="L510" i="1"/>
  <c r="L511" i="1"/>
  <c r="L512" i="1"/>
  <c r="L513" i="1"/>
  <c r="L514" i="1"/>
  <c r="L515" i="1"/>
  <c r="L516" i="1"/>
  <c r="L517" i="1"/>
  <c r="L518" i="1"/>
  <c r="L519" i="1"/>
  <c r="L520" i="1"/>
  <c r="L521" i="1"/>
  <c r="L522" i="1"/>
  <c r="L523" i="1"/>
  <c r="F784" i="1"/>
  <c r="F785" i="1"/>
  <c r="F786" i="1"/>
  <c r="F787" i="1"/>
  <c r="F788" i="1"/>
  <c r="F789" i="1"/>
  <c r="F790" i="1"/>
  <c r="F791" i="1"/>
  <c r="F792" i="1"/>
  <c r="F793" i="1"/>
  <c r="F794" i="1"/>
  <c r="F795" i="1"/>
  <c r="F796" i="1"/>
  <c r="F797" i="1"/>
  <c r="L784" i="1"/>
  <c r="L785" i="1"/>
  <c r="L786" i="1"/>
  <c r="L787" i="1"/>
  <c r="L788" i="1"/>
  <c r="L789" i="1"/>
  <c r="L790" i="1"/>
  <c r="L791" i="1"/>
  <c r="L792" i="1"/>
  <c r="L793" i="1"/>
  <c r="L794" i="1"/>
  <c r="L795" i="1"/>
  <c r="L796" i="1"/>
  <c r="L797" i="1"/>
  <c r="D527" i="1"/>
  <c r="D528" i="1"/>
  <c r="D529" i="1"/>
  <c r="J527" i="1"/>
  <c r="J528" i="1"/>
  <c r="J529" i="1"/>
  <c r="D807" i="1"/>
  <c r="J805" i="1"/>
  <c r="J806" i="1"/>
  <c r="J807" i="1"/>
  <c r="J198" i="1"/>
  <c r="F200" i="1"/>
  <c r="F201" i="1"/>
  <c r="F202" i="1"/>
  <c r="F203" i="1"/>
  <c r="F204" i="1"/>
  <c r="F205" i="1"/>
  <c r="F206" i="1"/>
  <c r="F207" i="1"/>
  <c r="F208" i="1"/>
  <c r="F209" i="1"/>
  <c r="F210" i="1"/>
  <c r="F211" i="1"/>
  <c r="F212" i="1"/>
  <c r="F213" i="1"/>
  <c r="L200" i="1"/>
  <c r="L201" i="1"/>
  <c r="L202" i="1"/>
  <c r="L203" i="1"/>
  <c r="L204" i="1"/>
  <c r="L205" i="1"/>
  <c r="L206" i="1"/>
  <c r="L207" i="1"/>
  <c r="L208" i="1"/>
  <c r="L209" i="1"/>
  <c r="L210" i="1"/>
  <c r="L211" i="1"/>
  <c r="L212" i="1"/>
  <c r="L213" i="1"/>
  <c r="D217" i="1"/>
  <c r="D218" i="1"/>
  <c r="D219" i="1"/>
  <c r="J217" i="1"/>
  <c r="J218" i="1"/>
  <c r="J219" i="1"/>
  <c r="J237" i="1"/>
  <c r="F239" i="1"/>
  <c r="F240" i="1"/>
  <c r="F241" i="1"/>
  <c r="F242" i="1"/>
  <c r="F243" i="1"/>
  <c r="F244" i="1"/>
  <c r="F245" i="1"/>
  <c r="F246" i="1"/>
  <c r="F247" i="1"/>
  <c r="F248" i="1"/>
  <c r="F249" i="1"/>
  <c r="F250" i="1"/>
  <c r="F251" i="1"/>
  <c r="F252" i="1"/>
  <c r="L239" i="1"/>
  <c r="L240" i="1"/>
  <c r="L241" i="1"/>
  <c r="L242" i="1"/>
  <c r="L243" i="1"/>
  <c r="L244" i="1"/>
  <c r="L245" i="1"/>
  <c r="L246" i="1"/>
  <c r="L247" i="1"/>
  <c r="L248" i="1"/>
  <c r="L249" i="1"/>
  <c r="L250" i="1"/>
  <c r="L251" i="1"/>
  <c r="L252" i="1"/>
  <c r="D256" i="1"/>
  <c r="D257" i="1"/>
  <c r="D258" i="1"/>
  <c r="J256" i="1"/>
  <c r="J257" i="1"/>
  <c r="J258" i="1"/>
  <c r="F276" i="1"/>
  <c r="F277" i="1"/>
  <c r="F278" i="1"/>
  <c r="F279" i="1"/>
  <c r="F280" i="1"/>
  <c r="F281" i="1"/>
  <c r="F282" i="1"/>
  <c r="F283" i="1"/>
  <c r="F284" i="1"/>
  <c r="F285" i="1"/>
  <c r="F286" i="1"/>
  <c r="F287" i="1"/>
  <c r="F288" i="1"/>
  <c r="F289" i="1"/>
  <c r="F290" i="1"/>
  <c r="F291" i="1"/>
  <c r="F292" i="1"/>
  <c r="F293" i="1"/>
  <c r="F294" i="1"/>
  <c r="H297" i="1"/>
  <c r="I297" i="1"/>
  <c r="J297" i="1"/>
  <c r="K297" i="1"/>
  <c r="L297" i="1"/>
  <c r="M297" i="1"/>
  <c r="H298" i="1"/>
  <c r="F299" i="1"/>
  <c r="F300" i="1"/>
  <c r="F301" i="1"/>
  <c r="F302" i="1"/>
  <c r="F303" i="1"/>
  <c r="F304" i="1"/>
  <c r="F305" i="1"/>
  <c r="F306" i="1"/>
  <c r="F307" i="1"/>
  <c r="F308" i="1"/>
  <c r="F309" i="1"/>
  <c r="F310" i="1"/>
  <c r="F311" i="1"/>
  <c r="F312" i="1"/>
  <c r="F313" i="1"/>
  <c r="F314" i="1"/>
  <c r="F315" i="1"/>
  <c r="F316" i="1"/>
  <c r="F317" i="1"/>
  <c r="L299" i="1"/>
  <c r="L300" i="1"/>
  <c r="L301" i="1"/>
  <c r="L302" i="1"/>
  <c r="L303" i="1"/>
  <c r="L304" i="1"/>
  <c r="L305" i="1"/>
  <c r="L306" i="1"/>
  <c r="L307" i="1"/>
  <c r="L308" i="1"/>
  <c r="L309" i="1"/>
  <c r="L310" i="1"/>
  <c r="L311" i="1"/>
  <c r="L312" i="1"/>
  <c r="L313" i="1"/>
  <c r="L314" i="1"/>
  <c r="L315" i="1"/>
  <c r="L316" i="1"/>
  <c r="L317" i="1"/>
  <c r="D321" i="1"/>
  <c r="D322" i="1"/>
  <c r="D324" i="1"/>
  <c r="J321" i="1"/>
  <c r="J322" i="1"/>
  <c r="E93" i="6"/>
  <c r="E94" i="6" s="1"/>
  <c r="I789" i="5"/>
  <c r="I760" i="5"/>
  <c r="C794" i="5"/>
  <c r="C827" i="5"/>
  <c r="D215" i="1"/>
  <c r="D254" i="1"/>
  <c r="D319" i="1"/>
  <c r="D356" i="1"/>
  <c r="J356" i="1"/>
  <c r="I476" i="5"/>
  <c r="C826" i="5"/>
  <c r="I793" i="5"/>
  <c r="C852" i="5"/>
  <c r="I821" i="5"/>
  <c r="C824" i="5"/>
  <c r="I791" i="5"/>
  <c r="I818" i="5"/>
  <c r="C849" i="5"/>
  <c r="I822" i="5"/>
  <c r="C853" i="5"/>
  <c r="I820" i="5"/>
  <c r="C851" i="5"/>
  <c r="I819" i="5"/>
  <c r="C850" i="5"/>
  <c r="C792" i="5"/>
  <c r="I759" i="5"/>
  <c r="I757" i="5"/>
  <c r="C790" i="5"/>
  <c r="C788" i="1"/>
  <c r="I788" i="1"/>
  <c r="I748" i="1"/>
  <c r="I719" i="1"/>
  <c r="C753" i="1"/>
  <c r="I755" i="1"/>
  <c r="C795" i="1"/>
  <c r="I795" i="1"/>
  <c r="C746" i="1"/>
  <c r="I712" i="1"/>
  <c r="C754" i="1"/>
  <c r="I720" i="1"/>
  <c r="I718" i="1"/>
  <c r="C752" i="1"/>
  <c r="I710" i="1"/>
  <c r="C744" i="1"/>
  <c r="I715" i="1"/>
  <c r="C749" i="1"/>
  <c r="I711" i="1"/>
  <c r="C745" i="1"/>
  <c r="I723" i="1"/>
  <c r="C757" i="1"/>
  <c r="I713" i="1"/>
  <c r="C747" i="1"/>
  <c r="C750" i="1"/>
  <c r="I716" i="1"/>
  <c r="C743" i="1"/>
  <c r="I709" i="1"/>
  <c r="I751" i="1"/>
  <c r="C791" i="1"/>
  <c r="I791" i="1"/>
  <c r="I722" i="1"/>
  <c r="C756" i="1"/>
  <c r="C507" i="5"/>
  <c r="I478" i="5"/>
  <c r="C533" i="5"/>
  <c r="I504" i="5"/>
  <c r="C237" i="5"/>
  <c r="I205" i="5"/>
  <c r="C529" i="5"/>
  <c r="I500" i="5"/>
  <c r="C506" i="5"/>
  <c r="I477" i="5"/>
  <c r="C508" i="5"/>
  <c r="I479" i="5"/>
  <c r="C509" i="5"/>
  <c r="I480" i="5"/>
  <c r="C532" i="5"/>
  <c r="I503" i="5"/>
  <c r="C530" i="5"/>
  <c r="I501" i="5"/>
  <c r="C531" i="5"/>
  <c r="I502" i="5"/>
  <c r="C534" i="5"/>
  <c r="I505" i="5"/>
  <c r="C355" i="5"/>
  <c r="I355" i="5"/>
  <c r="I318" i="5"/>
  <c r="C261" i="5"/>
  <c r="I230" i="5"/>
  <c r="C262" i="5"/>
  <c r="I231" i="5"/>
  <c r="C315" i="5"/>
  <c r="I255" i="5"/>
  <c r="C267" i="5"/>
  <c r="I236" i="5"/>
  <c r="C266" i="5"/>
  <c r="I235" i="5"/>
  <c r="C356" i="5"/>
  <c r="I356" i="5"/>
  <c r="I319" i="5"/>
  <c r="C264" i="5"/>
  <c r="I233" i="5"/>
  <c r="C263" i="5"/>
  <c r="I232" i="5"/>
  <c r="C269" i="5"/>
  <c r="I238" i="5"/>
  <c r="C234" i="5"/>
  <c r="I202" i="5"/>
  <c r="C357" i="5"/>
  <c r="I357" i="5"/>
  <c r="I320" i="5"/>
  <c r="C353" i="5"/>
  <c r="I353" i="5"/>
  <c r="I316" i="5"/>
  <c r="C354" i="5"/>
  <c r="I354" i="5"/>
  <c r="I317" i="5"/>
  <c r="C522" i="1"/>
  <c r="I522" i="1"/>
  <c r="I491" i="1"/>
  <c r="I486" i="1"/>
  <c r="C517" i="1"/>
  <c r="I517" i="1"/>
  <c r="C514" i="1"/>
  <c r="I514" i="1"/>
  <c r="I483" i="1"/>
  <c r="I489" i="1"/>
  <c r="C520" i="1"/>
  <c r="I520" i="1"/>
  <c r="I482" i="1"/>
  <c r="C513" i="1"/>
  <c r="I513" i="1"/>
  <c r="I488" i="1"/>
  <c r="C519" i="1"/>
  <c r="I519" i="1"/>
  <c r="C518" i="1"/>
  <c r="I518" i="1"/>
  <c r="I487" i="1"/>
  <c r="I480" i="1"/>
  <c r="C511" i="1"/>
  <c r="I511" i="1"/>
  <c r="I481" i="1"/>
  <c r="C512" i="1"/>
  <c r="I512" i="1"/>
  <c r="I490" i="1"/>
  <c r="C521" i="1"/>
  <c r="I521" i="1"/>
  <c r="I478" i="1"/>
  <c r="C509" i="1"/>
  <c r="I509" i="1"/>
  <c r="I93" i="5"/>
  <c r="J324" i="1"/>
  <c r="J323" i="1"/>
  <c r="J586" i="1"/>
  <c r="J585" i="1"/>
  <c r="E581" i="1"/>
  <c r="K581" i="1"/>
  <c r="E616" i="1"/>
  <c r="K616" i="1"/>
  <c r="C581" i="1"/>
  <c r="I581" i="1"/>
  <c r="C616" i="1"/>
  <c r="I616" i="1"/>
  <c r="D581" i="1"/>
  <c r="J581" i="1"/>
  <c r="D616" i="1"/>
  <c r="J616" i="1"/>
  <c r="B581" i="1"/>
  <c r="H581" i="1"/>
  <c r="B616" i="1"/>
  <c r="H616" i="1"/>
  <c r="D586" i="1"/>
  <c r="D585" i="1"/>
  <c r="D323" i="1"/>
  <c r="I794" i="5"/>
  <c r="I849" i="5"/>
  <c r="C825" i="5"/>
  <c r="I792" i="5"/>
  <c r="C858" i="5"/>
  <c r="I827" i="5"/>
  <c r="I852" i="5"/>
  <c r="C823" i="5"/>
  <c r="I790" i="5"/>
  <c r="I850" i="5"/>
  <c r="I851" i="5"/>
  <c r="I853" i="5"/>
  <c r="I824" i="5"/>
  <c r="C855" i="5"/>
  <c r="I826" i="5"/>
  <c r="C857" i="5"/>
  <c r="C796" i="1"/>
  <c r="I796" i="1"/>
  <c r="I756" i="1"/>
  <c r="I747" i="1"/>
  <c r="C787" i="1"/>
  <c r="I787" i="1"/>
  <c r="I745" i="1"/>
  <c r="C785" i="1"/>
  <c r="I785" i="1"/>
  <c r="C784" i="1"/>
  <c r="I784" i="1"/>
  <c r="I744" i="1"/>
  <c r="I743" i="1"/>
  <c r="C783" i="1"/>
  <c r="I783" i="1"/>
  <c r="I754" i="1"/>
  <c r="C794" i="1"/>
  <c r="I794" i="1"/>
  <c r="I757" i="1"/>
  <c r="C797" i="1"/>
  <c r="I797" i="1"/>
  <c r="I749" i="1"/>
  <c r="C789" i="1"/>
  <c r="I789" i="1"/>
  <c r="C792" i="1"/>
  <c r="I792" i="1"/>
  <c r="I752" i="1"/>
  <c r="I753" i="1"/>
  <c r="C793" i="1"/>
  <c r="I793" i="1"/>
  <c r="I750" i="1"/>
  <c r="C790" i="1"/>
  <c r="I790" i="1"/>
  <c r="I746" i="1"/>
  <c r="C786" i="1"/>
  <c r="I786" i="1"/>
  <c r="I506" i="5"/>
  <c r="C535" i="5"/>
  <c r="C268" i="5"/>
  <c r="I237" i="5"/>
  <c r="C560" i="5"/>
  <c r="I531" i="5"/>
  <c r="C538" i="5"/>
  <c r="I509" i="5"/>
  <c r="C558" i="5"/>
  <c r="I529" i="5"/>
  <c r="C562" i="5"/>
  <c r="I533" i="5"/>
  <c r="C563" i="5"/>
  <c r="I534" i="5"/>
  <c r="C559" i="5"/>
  <c r="I530" i="5"/>
  <c r="C561" i="5"/>
  <c r="I532" i="5"/>
  <c r="C537" i="5"/>
  <c r="I508" i="5"/>
  <c r="C536" i="5"/>
  <c r="I507" i="5"/>
  <c r="C322" i="5"/>
  <c r="I262" i="5"/>
  <c r="C321" i="5"/>
  <c r="I261" i="5"/>
  <c r="C352" i="5"/>
  <c r="I352" i="5"/>
  <c r="I315" i="5"/>
  <c r="C329" i="5"/>
  <c r="I269" i="5"/>
  <c r="C324" i="5"/>
  <c r="I264" i="5"/>
  <c r="C265" i="5"/>
  <c r="I234" i="5"/>
  <c r="C323" i="5"/>
  <c r="I263" i="5"/>
  <c r="C326" i="5"/>
  <c r="I266" i="5"/>
  <c r="C327" i="5"/>
  <c r="I267" i="5"/>
  <c r="I857" i="5"/>
  <c r="C856" i="5"/>
  <c r="I825" i="5"/>
  <c r="I855" i="5"/>
  <c r="I858" i="5"/>
  <c r="C854" i="5"/>
  <c r="I823" i="5"/>
  <c r="I562" i="5"/>
  <c r="I558" i="5"/>
  <c r="C567" i="5"/>
  <c r="I538" i="5"/>
  <c r="I560" i="5"/>
  <c r="C565" i="5"/>
  <c r="I536" i="5"/>
  <c r="I561" i="5"/>
  <c r="C564" i="5"/>
  <c r="I535" i="5"/>
  <c r="C328" i="5"/>
  <c r="I268" i="5"/>
  <c r="C566" i="5"/>
  <c r="I537" i="5"/>
  <c r="I559" i="5"/>
  <c r="I563" i="5"/>
  <c r="I94" i="5"/>
  <c r="C366" i="5"/>
  <c r="I366" i="5"/>
  <c r="I329" i="5"/>
  <c r="C333" i="5"/>
  <c r="C363" i="5"/>
  <c r="I363" i="5"/>
  <c r="I326" i="5"/>
  <c r="C325" i="5"/>
  <c r="I265" i="5"/>
  <c r="C358" i="5"/>
  <c r="I358" i="5"/>
  <c r="I321" i="5"/>
  <c r="C364" i="5"/>
  <c r="I364" i="5"/>
  <c r="I327" i="5"/>
  <c r="C361" i="5"/>
  <c r="I361" i="5"/>
  <c r="I324" i="5"/>
  <c r="C360" i="5"/>
  <c r="I360" i="5"/>
  <c r="I323" i="5"/>
  <c r="C359" i="5"/>
  <c r="I359" i="5"/>
  <c r="I322" i="5"/>
  <c r="I854" i="5"/>
  <c r="I856" i="5"/>
  <c r="I328" i="5"/>
  <c r="C365" i="5"/>
  <c r="I365" i="5"/>
  <c r="C332" i="5"/>
  <c r="I565" i="5"/>
  <c r="I611" i="5"/>
  <c r="I646" i="5"/>
  <c r="I644" i="5"/>
  <c r="I609" i="5"/>
  <c r="I649" i="5"/>
  <c r="I614" i="5"/>
  <c r="I566" i="5"/>
  <c r="I564" i="5"/>
  <c r="C334" i="5"/>
  <c r="I647" i="5"/>
  <c r="I612" i="5"/>
  <c r="I567" i="5"/>
  <c r="I648" i="5"/>
  <c r="I613" i="5"/>
  <c r="I645" i="5"/>
  <c r="I610" i="5"/>
  <c r="C331" i="5"/>
  <c r="C362" i="5"/>
  <c r="I362" i="5"/>
  <c r="I325" i="5"/>
  <c r="C370" i="5"/>
  <c r="I370" i="5"/>
  <c r="I333" i="5"/>
  <c r="C330" i="5"/>
  <c r="I653" i="5"/>
  <c r="I618" i="5"/>
  <c r="C371" i="5"/>
  <c r="I371" i="5"/>
  <c r="I334" i="5"/>
  <c r="I654" i="5"/>
  <c r="I619" i="5"/>
  <c r="I655" i="5"/>
  <c r="I620" i="5"/>
  <c r="I650" i="5"/>
  <c r="I615" i="5"/>
  <c r="I652" i="5"/>
  <c r="I617" i="5"/>
  <c r="I332" i="5"/>
  <c r="C369" i="5"/>
  <c r="I369" i="5"/>
  <c r="I651" i="5"/>
  <c r="I616" i="5"/>
  <c r="C367" i="5"/>
  <c r="I367" i="5"/>
  <c r="I330" i="5"/>
  <c r="C368" i="5"/>
  <c r="I368" i="5"/>
  <c r="I331" i="5"/>
  <c r="C626" i="5"/>
  <c r="C630" i="5"/>
  <c r="I657" i="5"/>
  <c r="I622" i="5"/>
  <c r="I658" i="5"/>
  <c r="I623" i="5"/>
  <c r="I656" i="5"/>
  <c r="I621" i="5"/>
  <c r="I660" i="5"/>
  <c r="I625" i="5"/>
  <c r="C585" i="1"/>
  <c r="C582" i="1"/>
  <c r="C584" i="1"/>
  <c r="C583" i="1"/>
  <c r="C586" i="1"/>
  <c r="G485" i="1" l="1"/>
  <c r="M398" i="1"/>
  <c r="G395" i="5"/>
  <c r="G268" i="4"/>
  <c r="M231" i="5"/>
  <c r="G842" i="1"/>
  <c r="G578" i="1"/>
  <c r="G613" i="1"/>
  <c r="G658" i="1"/>
  <c r="M229" i="5"/>
  <c r="G430" i="1"/>
  <c r="G840" i="1"/>
  <c r="G601" i="1"/>
  <c r="G270" i="4"/>
  <c r="G656" i="1"/>
  <c r="M225" i="5"/>
  <c r="G841" i="1"/>
  <c r="G420" i="1"/>
  <c r="G158" i="5"/>
  <c r="G399" i="5"/>
  <c r="G81" i="5"/>
  <c r="G76" i="5"/>
  <c r="G612" i="1"/>
  <c r="G388" i="1"/>
  <c r="M398" i="5"/>
  <c r="G433" i="5"/>
  <c r="G107" i="4"/>
  <c r="G267" i="4"/>
  <c r="E79" i="4"/>
  <c r="E205" i="4" s="1"/>
  <c r="K240" i="4" s="1"/>
  <c r="G585" i="5"/>
  <c r="G568" i="1"/>
  <c r="G838" i="1"/>
  <c r="M499" i="5"/>
  <c r="G198" i="4"/>
  <c r="E267" i="1"/>
  <c r="G796" i="1"/>
  <c r="G652" i="1"/>
  <c r="G684" i="1"/>
  <c r="G357" i="5"/>
  <c r="G355" i="5"/>
  <c r="C45" i="5"/>
  <c r="G565" i="1"/>
  <c r="G754" i="1"/>
  <c r="G457" i="1"/>
  <c r="G600" i="1"/>
  <c r="G603" i="1"/>
  <c r="G793" i="1"/>
  <c r="G431" i="5"/>
  <c r="G361" i="5"/>
  <c r="G396" i="5"/>
  <c r="G359" i="5"/>
  <c r="M683" i="5"/>
  <c r="G123" i="5"/>
  <c r="G360" i="5"/>
  <c r="G320" i="4"/>
  <c r="G429" i="1"/>
  <c r="E95" i="4"/>
  <c r="G352" i="5"/>
  <c r="C37" i="4"/>
  <c r="G488" i="1"/>
  <c r="G753" i="1"/>
  <c r="G569" i="1"/>
  <c r="G567" i="1"/>
  <c r="G834" i="1"/>
  <c r="G365" i="5"/>
  <c r="G363" i="5"/>
  <c r="G848" i="5"/>
  <c r="D228" i="1"/>
  <c r="G487" i="1"/>
  <c r="G650" i="1"/>
  <c r="G836" i="1"/>
  <c r="G515" i="1"/>
  <c r="G517" i="1"/>
  <c r="G794" i="1"/>
  <c r="G369" i="5"/>
  <c r="G354" i="5"/>
  <c r="G582" i="5"/>
  <c r="G367" i="5"/>
  <c r="G499" i="5"/>
  <c r="G816" i="5"/>
  <c r="G368" i="5"/>
  <c r="G433" i="1"/>
  <c r="E271" i="1"/>
  <c r="G80" i="4"/>
  <c r="G262" i="5"/>
  <c r="G208" i="1"/>
  <c r="G455" i="1"/>
  <c r="G797" i="1"/>
  <c r="G514" i="1"/>
  <c r="G484" i="1"/>
  <c r="G721" i="1"/>
  <c r="G320" i="5"/>
  <c r="G358" i="5"/>
  <c r="G581" i="5"/>
  <c r="G371" i="5"/>
  <c r="G324" i="5"/>
  <c r="E288" i="5"/>
  <c r="G128" i="5"/>
  <c r="C47" i="4"/>
  <c r="E70" i="4" s="1"/>
  <c r="E310" i="4" s="1"/>
  <c r="G421" i="1"/>
  <c r="G604" i="1"/>
  <c r="G720" i="1"/>
  <c r="G486" i="1"/>
  <c r="G422" i="1"/>
  <c r="G688" i="1"/>
  <c r="G122" i="5"/>
  <c r="M496" i="5"/>
  <c r="G468" i="5"/>
  <c r="G362" i="5"/>
  <c r="G466" i="5"/>
  <c r="G657" i="1"/>
  <c r="G83" i="5"/>
  <c r="G73" i="5"/>
  <c r="B214" i="6"/>
  <c r="G719" i="1"/>
  <c r="G426" i="1"/>
  <c r="G795" i="1"/>
  <c r="G366" i="5"/>
  <c r="G364" i="5"/>
  <c r="G77" i="4"/>
  <c r="F100" i="4"/>
  <c r="F288" i="5"/>
  <c r="F271" i="1"/>
  <c r="F285" i="5"/>
  <c r="F97" i="4"/>
  <c r="G398" i="5"/>
  <c r="G497" i="5"/>
  <c r="G556" i="5"/>
  <c r="C44" i="1"/>
  <c r="G342" i="1"/>
  <c r="G566" i="1"/>
  <c r="G454" i="1"/>
  <c r="G790" i="1"/>
  <c r="G576" i="1"/>
  <c r="G423" i="1"/>
  <c r="G755" i="1"/>
  <c r="G577" i="1"/>
  <c r="G458" i="1"/>
  <c r="G545" i="1"/>
  <c r="G685" i="1"/>
  <c r="G757" i="1"/>
  <c r="G833" i="1"/>
  <c r="G169" i="5"/>
  <c r="G554" i="5"/>
  <c r="G496" i="5"/>
  <c r="G555" i="5"/>
  <c r="G470" i="5"/>
  <c r="G79" i="5"/>
  <c r="G525" i="5"/>
  <c r="M397" i="5"/>
  <c r="G323" i="5"/>
  <c r="G562" i="5"/>
  <c r="M501" i="5"/>
  <c r="G813" i="5"/>
  <c r="G794" i="5"/>
  <c r="G790" i="5"/>
  <c r="G403" i="5"/>
  <c r="G696" i="5"/>
  <c r="G791" i="5"/>
  <c r="G432" i="1"/>
  <c r="G839" i="1"/>
  <c r="M236" i="5"/>
  <c r="M234" i="5"/>
  <c r="G230" i="5"/>
  <c r="G144" i="4"/>
  <c r="G835" i="1"/>
  <c r="F779" i="1"/>
  <c r="G259" i="5"/>
  <c r="G353" i="1"/>
  <c r="G346" i="1"/>
  <c r="G575" i="1"/>
  <c r="M395" i="1"/>
  <c r="G165" i="5"/>
  <c r="G553" i="5"/>
  <c r="G495" i="5"/>
  <c r="M399" i="5"/>
  <c r="G640" i="5"/>
  <c r="G432" i="5"/>
  <c r="G524" i="5"/>
  <c r="G411" i="5"/>
  <c r="G682" i="5"/>
  <c r="G431" i="1"/>
  <c r="H103" i="5"/>
  <c r="M232" i="5"/>
  <c r="M230" i="5"/>
  <c r="G226" i="5"/>
  <c r="E287" i="5"/>
  <c r="G343" i="1"/>
  <c r="G556" i="1"/>
  <c r="M397" i="1"/>
  <c r="M394" i="1"/>
  <c r="G555" i="1"/>
  <c r="G610" i="1"/>
  <c r="G611" i="1"/>
  <c r="G163" i="5"/>
  <c r="G413" i="5"/>
  <c r="G639" i="5"/>
  <c r="M396" i="5"/>
  <c r="G434" i="5"/>
  <c r="M498" i="5"/>
  <c r="G397" i="5"/>
  <c r="G557" i="5"/>
  <c r="M780" i="5"/>
  <c r="G614" i="1"/>
  <c r="M228" i="5"/>
  <c r="M226" i="5"/>
  <c r="G347" i="1"/>
  <c r="G544" i="1"/>
  <c r="G385" i="1"/>
  <c r="G723" i="1"/>
  <c r="G554" i="1"/>
  <c r="G387" i="1"/>
  <c r="G687" i="1"/>
  <c r="G543" i="1"/>
  <c r="G419" i="1"/>
  <c r="G483" i="1"/>
  <c r="G579" i="1"/>
  <c r="G653" i="1"/>
  <c r="G553" i="1"/>
  <c r="G527" i="5"/>
  <c r="G469" i="5"/>
  <c r="G70" i="5"/>
  <c r="G599" i="5"/>
  <c r="G528" i="5"/>
  <c r="M395" i="5"/>
  <c r="G654" i="5"/>
  <c r="G498" i="5"/>
  <c r="G526" i="5"/>
  <c r="G532" i="5"/>
  <c r="M402" i="5"/>
  <c r="G654" i="1"/>
  <c r="H102" i="5"/>
  <c r="M238" i="5"/>
  <c r="M224" i="5"/>
  <c r="G158" i="4"/>
  <c r="E268" i="1"/>
  <c r="E201" i="6"/>
  <c r="F289" i="5" s="1"/>
  <c r="G189" i="6"/>
  <c r="H333" i="4" s="1"/>
  <c r="G583" i="5"/>
  <c r="M237" i="5"/>
  <c r="G198" i="6"/>
  <c r="H98" i="4" s="1"/>
  <c r="G207" i="1"/>
  <c r="G335" i="1"/>
  <c r="G516" i="1"/>
  <c r="G384" i="1"/>
  <c r="G686" i="1"/>
  <c r="G546" i="1"/>
  <c r="G386" i="1"/>
  <c r="G651" i="1"/>
  <c r="G542" i="1"/>
  <c r="M396" i="1"/>
  <c r="G456" i="1"/>
  <c r="G837" i="1"/>
  <c r="G80" i="5"/>
  <c r="G322" i="5"/>
  <c r="G641" i="5"/>
  <c r="G467" i="5"/>
  <c r="G642" i="5"/>
  <c r="M497" i="5"/>
  <c r="G439" i="5"/>
  <c r="M404" i="5"/>
  <c r="G436" i="5"/>
  <c r="G695" i="5"/>
  <c r="G757" i="5"/>
  <c r="M235" i="5"/>
  <c r="G154" i="4"/>
  <c r="E285" i="5"/>
  <c r="E100" i="4"/>
  <c r="C54" i="1"/>
  <c r="E77" i="1" s="1"/>
  <c r="E70" i="1"/>
  <c r="G71" i="5"/>
  <c r="E97" i="4"/>
  <c r="G255" i="5"/>
  <c r="F778" i="1"/>
  <c r="G268" i="5"/>
  <c r="B195" i="6"/>
  <c r="C266" i="1" s="1"/>
  <c r="F95" i="4"/>
  <c r="F283" i="5"/>
  <c r="F266" i="1"/>
  <c r="G213" i="1"/>
  <c r="G210" i="6"/>
  <c r="H633" i="1" s="1"/>
  <c r="G562" i="1"/>
  <c r="G276" i="4"/>
  <c r="G202" i="4"/>
  <c r="H107" i="5"/>
  <c r="G246" i="1"/>
  <c r="E282" i="5"/>
  <c r="G118" i="5"/>
  <c r="F777" i="1"/>
  <c r="E85" i="5"/>
  <c r="E130" i="5" s="1"/>
  <c r="E78" i="5"/>
  <c r="E404" i="5" s="1"/>
  <c r="E71" i="5"/>
  <c r="E116" i="5" s="1"/>
  <c r="E157" i="5" s="1"/>
  <c r="K157" i="5" s="1"/>
  <c r="G166" i="1"/>
  <c r="G481" i="1"/>
  <c r="G678" i="1"/>
  <c r="G513" i="1"/>
  <c r="G677" i="1"/>
  <c r="G125" i="5"/>
  <c r="G564" i="5"/>
  <c r="G507" i="5"/>
  <c r="G171" i="1"/>
  <c r="G275" i="4"/>
  <c r="G261" i="5"/>
  <c r="D258" i="6"/>
  <c r="E339" i="4" s="1"/>
  <c r="E76" i="1"/>
  <c r="E77" i="5"/>
  <c r="E403" i="5" s="1"/>
  <c r="E70" i="5"/>
  <c r="G540" i="1"/>
  <c r="G642" i="1"/>
  <c r="G119" i="4"/>
  <c r="H104" i="1"/>
  <c r="B197" i="6"/>
  <c r="C97" i="4" s="1"/>
  <c r="E123" i="4" s="1"/>
  <c r="K123" i="4" s="1"/>
  <c r="G258" i="5"/>
  <c r="C59" i="1"/>
  <c r="E82" i="1" s="1"/>
  <c r="E82" i="5"/>
  <c r="E695" i="5" s="1"/>
  <c r="E75" i="5"/>
  <c r="E120" i="5" s="1"/>
  <c r="E437" i="5" s="1"/>
  <c r="E69" i="5"/>
  <c r="E682" i="5" s="1"/>
  <c r="G247" i="1"/>
  <c r="G453" i="1"/>
  <c r="G675" i="1"/>
  <c r="G450" i="1"/>
  <c r="M409" i="5"/>
  <c r="G205" i="4"/>
  <c r="G274" i="4"/>
  <c r="G127" i="5"/>
  <c r="D257" i="6"/>
  <c r="E819" i="1" s="1"/>
  <c r="E87" i="5"/>
  <c r="E132" i="5" s="1"/>
  <c r="K132" i="5" s="1"/>
  <c r="E310" i="5" s="1"/>
  <c r="E899" i="5" s="1"/>
  <c r="G195" i="6"/>
  <c r="H266" i="1" s="1"/>
  <c r="G537" i="1"/>
  <c r="G273" i="4"/>
  <c r="G167" i="1"/>
  <c r="G75" i="1"/>
  <c r="G80" i="1"/>
  <c r="E86" i="5"/>
  <c r="E131" i="5" s="1"/>
  <c r="G744" i="1"/>
  <c r="G479" i="1"/>
  <c r="G541" i="1"/>
  <c r="G649" i="5"/>
  <c r="G272" i="4"/>
  <c r="G267" i="5"/>
  <c r="E79" i="1"/>
  <c r="E80" i="5"/>
  <c r="E406" i="5" s="1"/>
  <c r="E72" i="5"/>
  <c r="E685" i="5" s="1"/>
  <c r="B246" i="6"/>
  <c r="C737" i="1" s="1"/>
  <c r="G713" i="1"/>
  <c r="G203" i="4"/>
  <c r="G161" i="1"/>
  <c r="E265" i="1"/>
  <c r="G82" i="5"/>
  <c r="G77" i="5"/>
  <c r="G72" i="5"/>
  <c r="G164" i="5"/>
  <c r="G264" i="5"/>
  <c r="E78" i="1"/>
  <c r="F43" i="5"/>
  <c r="E95" i="6"/>
  <c r="F42" i="1"/>
  <c r="F35" i="4"/>
  <c r="H94" i="4"/>
  <c r="H265" i="1"/>
  <c r="H282" i="5"/>
  <c r="H180" i="4"/>
  <c r="H373" i="1"/>
  <c r="H389" i="5"/>
  <c r="G652" i="5"/>
  <c r="M507" i="5"/>
  <c r="G815" i="5"/>
  <c r="G121" i="1"/>
  <c r="D254" i="6"/>
  <c r="E775" i="5" s="1"/>
  <c r="E69" i="4"/>
  <c r="E309" i="4" s="1"/>
  <c r="E81" i="1"/>
  <c r="E68" i="1"/>
  <c r="B245" i="6"/>
  <c r="C736" i="1" s="1"/>
  <c r="G199" i="6"/>
  <c r="H331" i="1"/>
  <c r="G168" i="1"/>
  <c r="G162" i="1"/>
  <c r="G338" i="1"/>
  <c r="G351" i="1"/>
  <c r="G715" i="1"/>
  <c r="G751" i="1"/>
  <c r="G645" i="1"/>
  <c r="G824" i="1"/>
  <c r="G718" i="1"/>
  <c r="G561" i="1"/>
  <c r="G379" i="1"/>
  <c r="G168" i="5"/>
  <c r="G592" i="5"/>
  <c r="G535" i="5"/>
  <c r="G508" i="5"/>
  <c r="G444" i="5"/>
  <c r="G567" i="5"/>
  <c r="M408" i="5"/>
  <c r="G884" i="5"/>
  <c r="M783" i="5"/>
  <c r="G721" i="5"/>
  <c r="G685" i="5"/>
  <c r="G885" i="5"/>
  <c r="G793" i="5"/>
  <c r="G686" i="5"/>
  <c r="G750" i="5"/>
  <c r="G409" i="5"/>
  <c r="M792" i="5"/>
  <c r="G694" i="5"/>
  <c r="G329" i="5"/>
  <c r="G826" i="5"/>
  <c r="G308" i="4"/>
  <c r="G232" i="5"/>
  <c r="G237" i="5"/>
  <c r="G336" i="1"/>
  <c r="D253" i="6"/>
  <c r="E774" i="5" s="1"/>
  <c r="F776" i="1"/>
  <c r="F775" i="5"/>
  <c r="D255" i="6"/>
  <c r="E776" i="5" s="1"/>
  <c r="G269" i="5"/>
  <c r="G260" i="5"/>
  <c r="E244" i="6"/>
  <c r="C64" i="1"/>
  <c r="E87" i="1" s="1"/>
  <c r="K132" i="1" s="1"/>
  <c r="E294" i="1" s="1"/>
  <c r="C49" i="1"/>
  <c r="K72" i="5"/>
  <c r="G719" i="5"/>
  <c r="G505" i="5"/>
  <c r="G479" i="5"/>
  <c r="G306" i="4"/>
  <c r="G309" i="4"/>
  <c r="G228" i="5"/>
  <c r="G233" i="5"/>
  <c r="F774" i="5"/>
  <c r="E257" i="6"/>
  <c r="B257" i="6" s="1"/>
  <c r="C877" i="5" s="1"/>
  <c r="E76" i="4"/>
  <c r="E86" i="1"/>
  <c r="K131" i="1" s="1"/>
  <c r="E293" i="1" s="1"/>
  <c r="E80" i="1"/>
  <c r="K71" i="1"/>
  <c r="G116" i="1"/>
  <c r="G235" i="5"/>
  <c r="E74" i="4"/>
  <c r="E85" i="1"/>
  <c r="K130" i="1" s="1"/>
  <c r="E75" i="1"/>
  <c r="E71" i="1"/>
  <c r="G830" i="1"/>
  <c r="G563" i="5"/>
  <c r="G443" i="5"/>
  <c r="D188" i="1"/>
  <c r="G158" i="1"/>
  <c r="G752" i="1"/>
  <c r="G644" i="1"/>
  <c r="G591" i="5"/>
  <c r="G534" i="5"/>
  <c r="G781" i="5"/>
  <c r="G684" i="5"/>
  <c r="G595" i="5"/>
  <c r="G442" i="5"/>
  <c r="F41" i="1"/>
  <c r="G205" i="6"/>
  <c r="D189" i="1"/>
  <c r="G337" i="1"/>
  <c r="G350" i="1"/>
  <c r="G348" i="1"/>
  <c r="G641" i="1"/>
  <c r="G717" i="1"/>
  <c r="G674" i="1"/>
  <c r="G826" i="1"/>
  <c r="G159" i="5"/>
  <c r="G536" i="5"/>
  <c r="G509" i="5"/>
  <c r="G594" i="5"/>
  <c r="M509" i="5"/>
  <c r="G844" i="5"/>
  <c r="G760" i="5"/>
  <c r="M692" i="5"/>
  <c r="G882" i="5"/>
  <c r="G825" i="5"/>
  <c r="G749" i="5"/>
  <c r="G326" i="5"/>
  <c r="M686" i="5"/>
  <c r="G117" i="5"/>
  <c r="G441" i="5"/>
  <c r="G480" i="5"/>
  <c r="G751" i="5"/>
  <c r="G731" i="5"/>
  <c r="G328" i="5"/>
  <c r="G199" i="4"/>
  <c r="H104" i="5"/>
  <c r="G117" i="4"/>
  <c r="G310" i="4"/>
  <c r="G231" i="5"/>
  <c r="F268" i="1"/>
  <c r="H338" i="4"/>
  <c r="B200" i="6"/>
  <c r="C288" i="5" s="1"/>
  <c r="G266" i="5"/>
  <c r="G256" i="5"/>
  <c r="E258" i="6"/>
  <c r="F339" i="4" s="1"/>
  <c r="B255" i="6"/>
  <c r="C776" i="5" s="1"/>
  <c r="M784" i="5"/>
  <c r="G407" i="5"/>
  <c r="G653" i="5"/>
  <c r="M406" i="5"/>
  <c r="G832" i="1"/>
  <c r="G791" i="1"/>
  <c r="G845" i="5"/>
  <c r="G784" i="5"/>
  <c r="G846" i="5"/>
  <c r="G209" i="6"/>
  <c r="H632" i="1" s="1"/>
  <c r="G163" i="1"/>
  <c r="G341" i="1"/>
  <c r="G354" i="1"/>
  <c r="G344" i="1"/>
  <c r="G560" i="1"/>
  <c r="G478" i="1"/>
  <c r="G414" i="1"/>
  <c r="G828" i="1"/>
  <c r="G748" i="1"/>
  <c r="G745" i="1"/>
  <c r="G710" i="1"/>
  <c r="G155" i="5"/>
  <c r="G566" i="5"/>
  <c r="M508" i="5"/>
  <c r="G477" i="5"/>
  <c r="M407" i="5"/>
  <c r="G593" i="5"/>
  <c r="G408" i="5"/>
  <c r="M505" i="5"/>
  <c r="G856" i="5"/>
  <c r="G824" i="5"/>
  <c r="G748" i="5"/>
  <c r="M684" i="5"/>
  <c r="G847" i="5"/>
  <c r="G817" i="5"/>
  <c r="G722" i="5"/>
  <c r="G881" i="5"/>
  <c r="M682" i="5"/>
  <c r="M506" i="5"/>
  <c r="G200" i="5"/>
  <c r="G506" i="5"/>
  <c r="G537" i="5"/>
  <c r="G730" i="5"/>
  <c r="M693" i="5"/>
  <c r="G783" i="5"/>
  <c r="G105" i="4"/>
  <c r="G200" i="4"/>
  <c r="G271" i="4"/>
  <c r="G108" i="4"/>
  <c r="G195" i="4"/>
  <c r="G227" i="5"/>
  <c r="C270" i="1"/>
  <c r="B218" i="6"/>
  <c r="E84" i="1"/>
  <c r="K129" i="1" s="1"/>
  <c r="E291" i="1" s="1"/>
  <c r="E74" i="1"/>
  <c r="E69" i="1"/>
  <c r="E114" i="1" s="1"/>
  <c r="M782" i="5"/>
  <c r="M781" i="5"/>
  <c r="M685" i="5"/>
  <c r="G683" i="1"/>
  <c r="G538" i="5"/>
  <c r="G682" i="1"/>
  <c r="G325" i="5"/>
  <c r="G780" i="5"/>
  <c r="G718" i="5"/>
  <c r="G406" i="5"/>
  <c r="G225" i="5"/>
  <c r="G117" i="1"/>
  <c r="G345" i="1"/>
  <c r="G339" i="1"/>
  <c r="G747" i="1"/>
  <c r="G640" i="1"/>
  <c r="G476" i="5"/>
  <c r="G478" i="5"/>
  <c r="G650" i="5"/>
  <c r="G565" i="5"/>
  <c r="G823" i="5"/>
  <c r="G747" i="5"/>
  <c r="G782" i="5"/>
  <c r="M794" i="5"/>
  <c r="G814" i="5"/>
  <c r="G683" i="5"/>
  <c r="M405" i="5"/>
  <c r="G205" i="5"/>
  <c r="G405" i="5"/>
  <c r="G720" i="5"/>
  <c r="G894" i="5"/>
  <c r="M694" i="5"/>
  <c r="G854" i="5"/>
  <c r="M793" i="5"/>
  <c r="G121" i="4"/>
  <c r="G122" i="4"/>
  <c r="G109" i="4"/>
  <c r="G201" i="4"/>
  <c r="H819" i="1"/>
  <c r="G263" i="5"/>
  <c r="E83" i="1"/>
  <c r="K128" i="1" s="1"/>
  <c r="E290" i="1" s="1"/>
  <c r="E84" i="5"/>
  <c r="B247" i="6"/>
  <c r="C738" i="1" s="1"/>
  <c r="C244" i="4"/>
  <c r="I109" i="4"/>
  <c r="G262" i="4"/>
  <c r="G317" i="4"/>
  <c r="G196" i="4"/>
  <c r="J126" i="4"/>
  <c r="G316" i="4"/>
  <c r="G266" i="4"/>
  <c r="G118" i="4"/>
  <c r="G194" i="4"/>
  <c r="C247" i="4"/>
  <c r="I225" i="4"/>
  <c r="G193" i="4"/>
  <c r="G265" i="4"/>
  <c r="G192" i="4"/>
  <c r="G264" i="4"/>
  <c r="C199" i="4"/>
  <c r="C234" i="4" s="1"/>
  <c r="C269" i="4" s="1"/>
  <c r="I269" i="4" s="1"/>
  <c r="C313" i="4"/>
  <c r="C78" i="4"/>
  <c r="C117" i="4"/>
  <c r="G187" i="4"/>
  <c r="G74" i="4"/>
  <c r="G66" i="4"/>
  <c r="C310" i="4"/>
  <c r="C308" i="4"/>
  <c r="G64" i="4"/>
  <c r="G73" i="4"/>
  <c r="G65" i="4"/>
  <c r="E67" i="4"/>
  <c r="E307" i="4" s="1"/>
  <c r="D247" i="4"/>
  <c r="C245" i="4"/>
  <c r="C248" i="4" s="1"/>
  <c r="C75" i="4"/>
  <c r="E66" i="4"/>
  <c r="E306" i="4" s="1"/>
  <c r="C194" i="4"/>
  <c r="C229" i="4" s="1"/>
  <c r="C264" i="4" s="1"/>
  <c r="I264" i="4" s="1"/>
  <c r="C114" i="4"/>
  <c r="G189" i="4"/>
  <c r="I126" i="4"/>
  <c r="C112" i="4"/>
  <c r="G78" i="4"/>
  <c r="G63" i="4"/>
  <c r="G68" i="4"/>
  <c r="E71" i="4"/>
  <c r="E64" i="4"/>
  <c r="C246" i="4"/>
  <c r="G71" i="4"/>
  <c r="G116" i="4"/>
  <c r="G76" i="4"/>
  <c r="E62" i="4"/>
  <c r="D131" i="4"/>
  <c r="D130" i="4"/>
  <c r="C266" i="4"/>
  <c r="I266" i="4" s="1"/>
  <c r="I231" i="4"/>
  <c r="I224" i="4"/>
  <c r="C259" i="4"/>
  <c r="I259" i="4" s="1"/>
  <c r="I230" i="4"/>
  <c r="C265" i="4"/>
  <c r="I265" i="4" s="1"/>
  <c r="C258" i="4"/>
  <c r="I258" i="4" s="1"/>
  <c r="I223" i="4"/>
  <c r="J248" i="4"/>
  <c r="J247" i="4"/>
  <c r="C155" i="4"/>
  <c r="I155" i="4" s="1"/>
  <c r="I118" i="4"/>
  <c r="C257" i="4"/>
  <c r="I257" i="4" s="1"/>
  <c r="I222" i="4"/>
  <c r="J348" i="4"/>
  <c r="J347" i="4"/>
  <c r="B137" i="4"/>
  <c r="B332" i="4"/>
  <c r="K126" i="4"/>
  <c r="E163" i="4"/>
  <c r="K163" i="4" s="1"/>
  <c r="J356" i="4"/>
  <c r="J357" i="4"/>
  <c r="I227" i="4"/>
  <c r="C262" i="4"/>
  <c r="I262" i="4" s="1"/>
  <c r="C332" i="4"/>
  <c r="C72" i="4"/>
  <c r="G67" i="4"/>
  <c r="G191" i="4"/>
  <c r="G188" i="4"/>
  <c r="G72" i="4"/>
  <c r="G143" i="4"/>
  <c r="G153" i="4"/>
  <c r="G159" i="4"/>
  <c r="C306" i="4"/>
  <c r="C145" i="4"/>
  <c r="I145" i="4" s="1"/>
  <c r="E61" i="4"/>
  <c r="E65" i="4"/>
  <c r="C200" i="4"/>
  <c r="C235" i="4" s="1"/>
  <c r="C150" i="4"/>
  <c r="I150" i="4" s="1"/>
  <c r="E78" i="4"/>
  <c r="E73" i="4"/>
  <c r="I110" i="4"/>
  <c r="E75" i="4"/>
  <c r="J130" i="4"/>
  <c r="D347" i="4"/>
  <c r="C278" i="4"/>
  <c r="I278" i="4" s="1"/>
  <c r="I229" i="4"/>
  <c r="C193" i="4"/>
  <c r="C228" i="4" s="1"/>
  <c r="I106" i="4"/>
  <c r="G79" i="4"/>
  <c r="G258" i="4"/>
  <c r="G120" i="4"/>
  <c r="G260" i="4"/>
  <c r="G62" i="4"/>
  <c r="G150" i="4"/>
  <c r="G160" i="4"/>
  <c r="C6" i="10"/>
  <c r="E77" i="4"/>
  <c r="E203" i="4" s="1"/>
  <c r="K238" i="4" s="1"/>
  <c r="E158" i="4" s="1"/>
  <c r="E273" i="4" s="1"/>
  <c r="K273" i="4" s="1"/>
  <c r="E72" i="4"/>
  <c r="E68" i="4"/>
  <c r="E308" i="4" s="1"/>
  <c r="E63" i="4"/>
  <c r="C79" i="4"/>
  <c r="G257" i="4"/>
  <c r="G190" i="4"/>
  <c r="G142" i="4"/>
  <c r="G156" i="4"/>
  <c r="D168" i="4"/>
  <c r="C314" i="4"/>
  <c r="C71" i="4"/>
  <c r="G70" i="4"/>
  <c r="G123" i="4"/>
  <c r="G146" i="4"/>
  <c r="G152" i="4"/>
  <c r="G259" i="4"/>
  <c r="G161" i="4"/>
  <c r="G69" i="4"/>
  <c r="G61" i="4"/>
  <c r="G85" i="1"/>
  <c r="G77" i="1"/>
  <c r="G74" i="1"/>
  <c r="G73" i="1"/>
  <c r="G70" i="1"/>
  <c r="G87" i="1"/>
  <c r="G79" i="1"/>
  <c r="G68" i="1"/>
  <c r="G162" i="5"/>
  <c r="G157" i="5"/>
  <c r="G208" i="6"/>
  <c r="G197" i="6"/>
  <c r="H107" i="1"/>
  <c r="H108" i="5"/>
  <c r="G334" i="5"/>
  <c r="G333" i="5"/>
  <c r="G330" i="5"/>
  <c r="H269" i="1"/>
  <c r="G207" i="6"/>
  <c r="G196" i="6"/>
  <c r="G82" i="1"/>
  <c r="G571" i="1"/>
  <c r="G391" i="1"/>
  <c r="G331" i="5"/>
  <c r="G86" i="1"/>
  <c r="G239" i="1"/>
  <c r="G241" i="1"/>
  <c r="G242" i="1"/>
  <c r="G209" i="1"/>
  <c r="G212" i="1"/>
  <c r="G646" i="1"/>
  <c r="G788" i="1"/>
  <c r="G647" i="1"/>
  <c r="G750" i="1"/>
  <c r="G789" i="1"/>
  <c r="G831" i="1"/>
  <c r="G648" i="1"/>
  <c r="G681" i="1"/>
  <c r="G749" i="1"/>
  <c r="G716" i="1"/>
  <c r="G714" i="1"/>
  <c r="G679" i="1"/>
  <c r="G829" i="1"/>
  <c r="G450" i="5"/>
  <c r="G600" i="5"/>
  <c r="G658" i="5"/>
  <c r="G446" i="5"/>
  <c r="G656" i="5"/>
  <c r="M410" i="5"/>
  <c r="G598" i="5"/>
  <c r="G448" i="5"/>
  <c r="G597" i="5"/>
  <c r="G655" i="5"/>
  <c r="M413" i="5"/>
  <c r="G657" i="5"/>
  <c r="G447" i="5"/>
  <c r="G410" i="5"/>
  <c r="M414" i="5"/>
  <c r="F820" i="1"/>
  <c r="G389" i="1"/>
  <c r="G201" i="6"/>
  <c r="G76" i="1"/>
  <c r="G118" i="1"/>
  <c r="G460" i="1"/>
  <c r="G332" i="5"/>
  <c r="G203" i="5"/>
  <c r="G193" i="5"/>
  <c r="E198" i="6"/>
  <c r="B198" i="6" s="1"/>
  <c r="C269" i="1" s="1"/>
  <c r="E98" i="4"/>
  <c r="F270" i="1"/>
  <c r="F99" i="4"/>
  <c r="F287" i="5"/>
  <c r="G251" i="1"/>
  <c r="G492" i="1"/>
  <c r="D229" i="1"/>
  <c r="C161" i="6"/>
  <c r="G172" i="1"/>
  <c r="E269" i="1"/>
  <c r="G305" i="4"/>
  <c r="G304" i="4"/>
  <c r="G302" i="4"/>
  <c r="G303" i="4"/>
  <c r="G69" i="1"/>
  <c r="G78" i="1"/>
  <c r="G522" i="1"/>
  <c r="G83" i="1"/>
  <c r="E878" i="5"/>
  <c r="H100" i="4"/>
  <c r="H271" i="1"/>
  <c r="G72" i="1"/>
  <c r="G202" i="1"/>
  <c r="G199" i="1"/>
  <c r="G203" i="1"/>
  <c r="G608" i="1"/>
  <c r="G490" i="1"/>
  <c r="G428" i="1"/>
  <c r="G392" i="1"/>
  <c r="G462" i="1"/>
  <c r="G520" i="1"/>
  <c r="G393" i="1"/>
  <c r="G574" i="1"/>
  <c r="G390" i="1"/>
  <c r="G461" i="1"/>
  <c r="G607" i="1"/>
  <c r="G424" i="1"/>
  <c r="G491" i="1"/>
  <c r="G547" i="1"/>
  <c r="G573" i="1"/>
  <c r="G459" i="1"/>
  <c r="G521" i="1"/>
  <c r="G570" i="1"/>
  <c r="G605" i="1"/>
  <c r="G427" i="1"/>
  <c r="G489" i="1"/>
  <c r="G550" i="1"/>
  <c r="H339" i="4"/>
  <c r="H878" i="5"/>
  <c r="E133" i="5"/>
  <c r="K133" i="5"/>
  <c r="E311" i="5" s="1"/>
  <c r="E900" i="5" s="1"/>
  <c r="G519" i="1"/>
  <c r="H678" i="5"/>
  <c r="H635" i="1"/>
  <c r="F34" i="4"/>
  <c r="F42" i="5"/>
  <c r="G211" i="6"/>
  <c r="G81" i="1"/>
  <c r="G122" i="1"/>
  <c r="G548" i="1"/>
  <c r="G463" i="1"/>
  <c r="G609" i="1"/>
  <c r="D190" i="1"/>
  <c r="C152" i="6"/>
  <c r="G127" i="1"/>
  <c r="G123" i="1"/>
  <c r="G126" i="1"/>
  <c r="G416" i="1"/>
  <c r="G382" i="1"/>
  <c r="G418" i="1"/>
  <c r="G480" i="1"/>
  <c r="G510" i="1"/>
  <c r="G564" i="1"/>
  <c r="G511" i="1"/>
  <c r="G417" i="1"/>
  <c r="G482" i="1"/>
  <c r="G599" i="1"/>
  <c r="G449" i="1"/>
  <c r="G509" i="1"/>
  <c r="G595" i="1"/>
  <c r="G539" i="1"/>
  <c r="G452" i="1"/>
  <c r="G563" i="1"/>
  <c r="G598" i="1"/>
  <c r="G415" i="1"/>
  <c r="G538" i="1"/>
  <c r="G381" i="1"/>
  <c r="G597" i="1"/>
  <c r="G380" i="1"/>
  <c r="G451" i="1"/>
  <c r="G383" i="1"/>
  <c r="G596" i="1"/>
  <c r="G825" i="1"/>
  <c r="G783" i="1"/>
  <c r="G787" i="1"/>
  <c r="G823" i="1"/>
  <c r="G643" i="1"/>
  <c r="G711" i="1"/>
  <c r="G784" i="1"/>
  <c r="G676" i="1"/>
  <c r="G786" i="1"/>
  <c r="G746" i="1"/>
  <c r="G827" i="1"/>
  <c r="G639" i="1"/>
  <c r="G712" i="1"/>
  <c r="G785" i="1"/>
  <c r="G743" i="1"/>
  <c r="H820" i="1"/>
  <c r="G71" i="1"/>
  <c r="G252" i="1"/>
  <c r="G572" i="1"/>
  <c r="G606" i="1"/>
  <c r="G425" i="1"/>
  <c r="G551" i="1"/>
  <c r="G523" i="1"/>
  <c r="G84" i="1"/>
  <c r="H106" i="5"/>
  <c r="H105" i="1"/>
  <c r="G112" i="4"/>
  <c r="G111" i="4"/>
  <c r="G113" i="4"/>
  <c r="G110" i="4"/>
  <c r="G114" i="4"/>
  <c r="F338" i="4"/>
  <c r="G197" i="5"/>
  <c r="E196" i="6"/>
  <c r="B196" i="6" s="1"/>
  <c r="C96" i="4" s="1"/>
  <c r="C57" i="4"/>
  <c r="E80" i="4" s="1"/>
  <c r="C60" i="5"/>
  <c r="E83" i="5" s="1"/>
  <c r="E409" i="5" s="1"/>
  <c r="C50" i="5"/>
  <c r="E79" i="5"/>
  <c r="G201" i="5"/>
  <c r="C7" i="10"/>
  <c r="C13" i="10" s="1"/>
  <c r="C15" i="10" s="1"/>
  <c r="H109" i="1"/>
  <c r="E284" i="5"/>
  <c r="E194" i="6"/>
  <c r="B194" i="6" s="1"/>
  <c r="C282" i="5" s="1"/>
  <c r="E81" i="5"/>
  <c r="E407" i="5" s="1"/>
  <c r="E74" i="5"/>
  <c r="E400" i="5" s="1"/>
  <c r="K81" i="1"/>
  <c r="I92" i="1" s="1"/>
  <c r="E73" i="1"/>
  <c r="G265" i="5"/>
  <c r="C108" i="1"/>
  <c r="C287" i="5"/>
  <c r="C286" i="5"/>
  <c r="C107" i="1"/>
  <c r="E123" i="1" s="1"/>
  <c r="C98" i="4"/>
  <c r="C181" i="4"/>
  <c r="E684" i="5"/>
  <c r="K685" i="5"/>
  <c r="I704" i="5" s="1"/>
  <c r="C180" i="4"/>
  <c r="C632" i="1"/>
  <c r="E641" i="1" s="1"/>
  <c r="K402" i="5"/>
  <c r="K401" i="5"/>
  <c r="E402" i="5"/>
  <c r="K404" i="5"/>
  <c r="K403" i="5"/>
  <c r="C818" i="1"/>
  <c r="C105" i="5"/>
  <c r="C283" i="5"/>
  <c r="C373" i="1"/>
  <c r="C337" i="4"/>
  <c r="E408" i="5"/>
  <c r="K407" i="5"/>
  <c r="K409" i="5"/>
  <c r="K408" i="5"/>
  <c r="K406" i="5"/>
  <c r="K405" i="5"/>
  <c r="E698" i="5"/>
  <c r="C297" i="4"/>
  <c r="C635" i="1"/>
  <c r="C374" i="1"/>
  <c r="C348" i="5"/>
  <c r="C294" i="4"/>
  <c r="C101" i="1"/>
  <c r="E113" i="1" s="1"/>
  <c r="E158" i="1" s="1"/>
  <c r="C331" i="1"/>
  <c r="C105" i="1"/>
  <c r="K701" i="5"/>
  <c r="K700" i="5"/>
  <c r="C375" i="1"/>
  <c r="C633" i="1"/>
  <c r="K648" i="1" s="1"/>
  <c r="C391" i="5"/>
  <c r="C103" i="1"/>
  <c r="C814" i="1"/>
  <c r="C816" i="1"/>
  <c r="C874" i="5"/>
  <c r="C103" i="5"/>
  <c r="C179" i="4"/>
  <c r="C388" i="5"/>
  <c r="C372" i="1"/>
  <c r="E696" i="5"/>
  <c r="K695" i="5"/>
  <c r="K696" i="5"/>
  <c r="K699" i="5"/>
  <c r="K698" i="5"/>
  <c r="K697" i="5"/>
  <c r="C873" i="5"/>
  <c r="C815" i="1"/>
  <c r="C334" i="4"/>
  <c r="C110" i="5"/>
  <c r="C109" i="1"/>
  <c r="C296" i="4"/>
  <c r="C634" i="1"/>
  <c r="C107" i="5"/>
  <c r="E121" i="5" s="1"/>
  <c r="C106" i="1"/>
  <c r="C676" i="5"/>
  <c r="E114" i="5"/>
  <c r="E701" i="5"/>
  <c r="E683" i="5"/>
  <c r="C875" i="5"/>
  <c r="E694" i="5" l="1"/>
  <c r="H283" i="5"/>
  <c r="C819" i="1"/>
  <c r="C338" i="4"/>
  <c r="F877" i="5"/>
  <c r="F819" i="1"/>
  <c r="E121" i="4"/>
  <c r="K121" i="4" s="1"/>
  <c r="H294" i="4"/>
  <c r="K130" i="5"/>
  <c r="E308" i="5" s="1"/>
  <c r="E897" i="5" s="1"/>
  <c r="F101" i="4"/>
  <c r="F272" i="1"/>
  <c r="E401" i="5"/>
  <c r="C418" i="5" s="1"/>
  <c r="C94" i="4"/>
  <c r="E108" i="4" s="1"/>
  <c r="K108" i="4" s="1"/>
  <c r="C267" i="1"/>
  <c r="H675" i="5"/>
  <c r="E192" i="4"/>
  <c r="K227" i="4" s="1"/>
  <c r="E147" i="4" s="1"/>
  <c r="E262" i="4" s="1"/>
  <c r="K262" i="4" s="1"/>
  <c r="H286" i="5"/>
  <c r="E125" i="5"/>
  <c r="K125" i="5" s="1"/>
  <c r="E338" i="4"/>
  <c r="E124" i="1"/>
  <c r="K124" i="1" s="1"/>
  <c r="H814" i="1"/>
  <c r="H872" i="5"/>
  <c r="C284" i="5"/>
  <c r="C92" i="1"/>
  <c r="E700" i="5"/>
  <c r="E125" i="1"/>
  <c r="E170" i="1" s="1"/>
  <c r="E115" i="1"/>
  <c r="K115" i="1" s="1"/>
  <c r="C95" i="4"/>
  <c r="E110" i="4" s="1"/>
  <c r="E877" i="5"/>
  <c r="K437" i="5"/>
  <c r="G190" i="6"/>
  <c r="H873" i="5" s="1"/>
  <c r="C94" i="5"/>
  <c r="E699" i="5"/>
  <c r="E126" i="5"/>
  <c r="E167" i="5" s="1"/>
  <c r="E759" i="5" s="1"/>
  <c r="B201" i="6"/>
  <c r="K114" i="1"/>
  <c r="E159" i="1"/>
  <c r="K159" i="1" s="1"/>
  <c r="E200" i="1" s="1"/>
  <c r="K200" i="1" s="1"/>
  <c r="E166" i="5"/>
  <c r="K166" i="5" s="1"/>
  <c r="C92" i="5"/>
  <c r="C271" i="1"/>
  <c r="C285" i="5"/>
  <c r="E442" i="5"/>
  <c r="K442" i="5" s="1"/>
  <c r="E654" i="1"/>
  <c r="K131" i="5"/>
  <c r="E309" i="5" s="1"/>
  <c r="E898" i="5" s="1"/>
  <c r="E129" i="5"/>
  <c r="K129" i="5" s="1"/>
  <c r="E117" i="5"/>
  <c r="E721" i="5" s="1"/>
  <c r="E697" i="5"/>
  <c r="E729" i="5"/>
  <c r="E693" i="5"/>
  <c r="E199" i="4"/>
  <c r="K234" i="4" s="1"/>
  <c r="E154" i="4" s="1"/>
  <c r="E269" i="4" s="1"/>
  <c r="K269" i="4" s="1"/>
  <c r="C93" i="1"/>
  <c r="E820" i="1"/>
  <c r="H95" i="4"/>
  <c r="H676" i="5"/>
  <c r="H295" i="4"/>
  <c r="C268" i="1"/>
  <c r="C100" i="4"/>
  <c r="E122" i="4"/>
  <c r="K122" i="4" s="1"/>
  <c r="K159" i="4" s="1"/>
  <c r="E120" i="4"/>
  <c r="K120" i="4" s="1"/>
  <c r="E202" i="4"/>
  <c r="K237" i="4" s="1"/>
  <c r="C91" i="1"/>
  <c r="I138" i="1"/>
  <c r="E292" i="1"/>
  <c r="E554" i="1" s="1"/>
  <c r="K577" i="1" s="1"/>
  <c r="H270" i="1"/>
  <c r="H99" i="4"/>
  <c r="H287" i="5"/>
  <c r="E646" i="1"/>
  <c r="E204" i="4"/>
  <c r="K239" i="4" s="1"/>
  <c r="E159" i="4" s="1"/>
  <c r="E274" i="4" s="1"/>
  <c r="K274" i="4" s="1"/>
  <c r="C86" i="4"/>
  <c r="K72" i="1"/>
  <c r="I90" i="1" s="1"/>
  <c r="I94" i="1" s="1"/>
  <c r="E72" i="1"/>
  <c r="C90" i="1" s="1"/>
  <c r="E119" i="1"/>
  <c r="K119" i="1" s="1"/>
  <c r="C93" i="5"/>
  <c r="C85" i="4"/>
  <c r="E256" i="6"/>
  <c r="B244" i="6"/>
  <c r="F878" i="5"/>
  <c r="B258" i="6"/>
  <c r="E120" i="1"/>
  <c r="K120" i="1" s="1"/>
  <c r="F36" i="4"/>
  <c r="E97" i="6"/>
  <c r="F44" i="5"/>
  <c r="F43" i="1"/>
  <c r="C265" i="1"/>
  <c r="K116" i="5"/>
  <c r="E119" i="5"/>
  <c r="E160" i="5" s="1"/>
  <c r="E471" i="5" s="1"/>
  <c r="H179" i="4"/>
  <c r="H372" i="1"/>
  <c r="H388" i="5"/>
  <c r="C84" i="4"/>
  <c r="C149" i="4"/>
  <c r="I149" i="4" s="1"/>
  <c r="I112" i="4"/>
  <c r="C87" i="4"/>
  <c r="C88" i="4" s="1"/>
  <c r="C83" i="4"/>
  <c r="I234" i="4"/>
  <c r="I114" i="4"/>
  <c r="C151" i="4"/>
  <c r="I151" i="4" s="1"/>
  <c r="C154" i="4"/>
  <c r="I154" i="4" s="1"/>
  <c r="I117" i="4"/>
  <c r="C204" i="4"/>
  <c r="C239" i="4" s="1"/>
  <c r="C318" i="4"/>
  <c r="C122" i="4"/>
  <c r="C80" i="4"/>
  <c r="C201" i="4"/>
  <c r="C236" i="4" s="1"/>
  <c r="C119" i="4"/>
  <c r="C315" i="4"/>
  <c r="E301" i="4"/>
  <c r="C76" i="4"/>
  <c r="C311" i="4"/>
  <c r="C197" i="4"/>
  <c r="C232" i="4" s="1"/>
  <c r="C115" i="4"/>
  <c r="I235" i="4"/>
  <c r="C270" i="4"/>
  <c r="I270" i="4" s="1"/>
  <c r="C319" i="4"/>
  <c r="C205" i="4"/>
  <c r="C240" i="4" s="1"/>
  <c r="C123" i="4"/>
  <c r="C116" i="4"/>
  <c r="C77" i="4"/>
  <c r="C312" i="4"/>
  <c r="C198" i="4"/>
  <c r="C233" i="4" s="1"/>
  <c r="C263" i="4"/>
  <c r="I263" i="4" s="1"/>
  <c r="I228" i="4"/>
  <c r="E720" i="5"/>
  <c r="K720" i="5" s="1"/>
  <c r="H634" i="1"/>
  <c r="H677" i="5"/>
  <c r="H296" i="4"/>
  <c r="D230" i="1"/>
  <c r="C162" i="6"/>
  <c r="E124" i="5"/>
  <c r="K124" i="5" s="1"/>
  <c r="H268" i="1"/>
  <c r="H285" i="5"/>
  <c r="H97" i="4"/>
  <c r="E127" i="1"/>
  <c r="E172" i="1" s="1"/>
  <c r="E723" i="1" s="1"/>
  <c r="K656" i="1"/>
  <c r="E840" i="1" s="1"/>
  <c r="E161" i="5"/>
  <c r="E472" i="5" s="1"/>
  <c r="K472" i="5" s="1"/>
  <c r="E206" i="4"/>
  <c r="K241" i="4" s="1"/>
  <c r="E161" i="4" s="1"/>
  <c r="E276" i="4" s="1"/>
  <c r="K276" i="4" s="1"/>
  <c r="E124" i="4"/>
  <c r="K124" i="4" s="1"/>
  <c r="K161" i="4" s="1"/>
  <c r="D191" i="1"/>
  <c r="C153" i="6"/>
  <c r="H391" i="5"/>
  <c r="H375" i="1"/>
  <c r="H182" i="4"/>
  <c r="H289" i="5"/>
  <c r="H272" i="1"/>
  <c r="H101" i="4"/>
  <c r="E675" i="1"/>
  <c r="E658" i="1"/>
  <c r="E405" i="5"/>
  <c r="C419" i="5" s="1"/>
  <c r="F267" i="1"/>
  <c r="F96" i="4"/>
  <c r="F284" i="5"/>
  <c r="F269" i="1"/>
  <c r="F98" i="4"/>
  <c r="F286" i="5"/>
  <c r="F265" i="1"/>
  <c r="F94" i="4"/>
  <c r="F282" i="5"/>
  <c r="K120" i="5"/>
  <c r="E73" i="5"/>
  <c r="E118" i="5" s="1"/>
  <c r="E435" i="5" s="1"/>
  <c r="K73" i="5"/>
  <c r="H284" i="5"/>
  <c r="H267" i="1"/>
  <c r="H96" i="4"/>
  <c r="K658" i="1"/>
  <c r="E842" i="1" s="1"/>
  <c r="E642" i="1"/>
  <c r="E692" i="5"/>
  <c r="E118" i="1"/>
  <c r="E163" i="1" s="1"/>
  <c r="E454" i="1" s="1"/>
  <c r="H374" i="1"/>
  <c r="H181" i="4"/>
  <c r="H390" i="5"/>
  <c r="E655" i="1"/>
  <c r="E169" i="1"/>
  <c r="K169" i="1" s="1"/>
  <c r="E210" i="1" s="1"/>
  <c r="E754" i="1" s="1"/>
  <c r="E657" i="1"/>
  <c r="E109" i="4"/>
  <c r="K109" i="4" s="1"/>
  <c r="E200" i="4"/>
  <c r="K235" i="4" s="1"/>
  <c r="E155" i="4" s="1"/>
  <c r="E270" i="4" s="1"/>
  <c r="K270" i="4" s="1"/>
  <c r="E127" i="5"/>
  <c r="E731" i="5" s="1"/>
  <c r="K731" i="5" s="1"/>
  <c r="E198" i="4"/>
  <c r="K233" i="4" s="1"/>
  <c r="E153" i="4" s="1"/>
  <c r="E268" i="4" s="1"/>
  <c r="K268" i="4" s="1"/>
  <c r="E194" i="4"/>
  <c r="K229" i="4" s="1"/>
  <c r="E149" i="4" s="1"/>
  <c r="E196" i="4"/>
  <c r="K231" i="4" s="1"/>
  <c r="E151" i="4" s="1"/>
  <c r="E266" i="4" s="1"/>
  <c r="K266" i="4" s="1"/>
  <c r="E128" i="5"/>
  <c r="E732" i="5" s="1"/>
  <c r="K732" i="5" s="1"/>
  <c r="E201" i="4"/>
  <c r="K236" i="4" s="1"/>
  <c r="E156" i="4" s="1"/>
  <c r="E271" i="4" s="1"/>
  <c r="K271" i="4" s="1"/>
  <c r="E193" i="4"/>
  <c r="K228" i="4" s="1"/>
  <c r="C324" i="4"/>
  <c r="C345" i="4" s="1"/>
  <c r="E639" i="1"/>
  <c r="K642" i="1"/>
  <c r="E640" i="1"/>
  <c r="E197" i="4"/>
  <c r="K232" i="4" s="1"/>
  <c r="E195" i="4"/>
  <c r="K230" i="4" s="1"/>
  <c r="E150" i="4" s="1"/>
  <c r="E265" i="4" s="1"/>
  <c r="K265" i="4" s="1"/>
  <c r="K654" i="1"/>
  <c r="E838" i="1" s="1"/>
  <c r="K158" i="4"/>
  <c r="E656" i="1"/>
  <c r="K657" i="1"/>
  <c r="E841" i="1" s="1"/>
  <c r="E385" i="1"/>
  <c r="E386" i="1"/>
  <c r="E387" i="1"/>
  <c r="K386" i="1"/>
  <c r="K385" i="1"/>
  <c r="E384" i="1"/>
  <c r="K384" i="1"/>
  <c r="E388" i="1"/>
  <c r="K388" i="1"/>
  <c r="K387" i="1"/>
  <c r="E111" i="4"/>
  <c r="K111" i="4" s="1"/>
  <c r="E114" i="4"/>
  <c r="K114" i="4" s="1"/>
  <c r="E112" i="4"/>
  <c r="K112" i="4" s="1"/>
  <c r="I419" i="5"/>
  <c r="E304" i="4"/>
  <c r="E303" i="4"/>
  <c r="E316" i="4"/>
  <c r="E320" i="4"/>
  <c r="E318" i="4"/>
  <c r="E319" i="4"/>
  <c r="K194" i="5"/>
  <c r="K782" i="5" s="1"/>
  <c r="E302" i="4"/>
  <c r="E305" i="4"/>
  <c r="K389" i="1"/>
  <c r="K392" i="1"/>
  <c r="K390" i="1"/>
  <c r="E389" i="1"/>
  <c r="E392" i="1"/>
  <c r="E391" i="1"/>
  <c r="K393" i="1"/>
  <c r="E390" i="1"/>
  <c r="K391" i="1"/>
  <c r="E393" i="1"/>
  <c r="E317" i="4"/>
  <c r="K655" i="1"/>
  <c r="E839" i="1" s="1"/>
  <c r="E691" i="1"/>
  <c r="E692" i="1"/>
  <c r="E690" i="1"/>
  <c r="E693" i="1"/>
  <c r="K693" i="1" s="1"/>
  <c r="E689" i="1"/>
  <c r="K689" i="1" s="1"/>
  <c r="E645" i="1"/>
  <c r="E676" i="1"/>
  <c r="K676" i="1" s="1"/>
  <c r="E121" i="1"/>
  <c r="E682" i="1" s="1"/>
  <c r="E123" i="5"/>
  <c r="E164" i="5" s="1"/>
  <c r="E475" i="5" s="1"/>
  <c r="E160" i="1"/>
  <c r="E599" i="5"/>
  <c r="K622" i="5" s="1"/>
  <c r="E370" i="5" s="1"/>
  <c r="E597" i="5"/>
  <c r="K620" i="5" s="1"/>
  <c r="E368" i="5" s="1"/>
  <c r="E447" i="5"/>
  <c r="E413" i="5"/>
  <c r="E448" i="5"/>
  <c r="E412" i="5"/>
  <c r="K412" i="5"/>
  <c r="K414" i="5"/>
  <c r="E449" i="5"/>
  <c r="K411" i="5"/>
  <c r="E450" i="5"/>
  <c r="E411" i="5"/>
  <c r="K410" i="5"/>
  <c r="E600" i="5"/>
  <c r="K623" i="5" s="1"/>
  <c r="E371" i="5" s="1"/>
  <c r="E410" i="5"/>
  <c r="K413" i="5"/>
  <c r="E414" i="5"/>
  <c r="E116" i="1"/>
  <c r="E417" i="1" s="1"/>
  <c r="E115" i="5"/>
  <c r="E432" i="5" s="1"/>
  <c r="E647" i="1"/>
  <c r="K647" i="1"/>
  <c r="I662" i="1" s="1"/>
  <c r="E648" i="1"/>
  <c r="E644" i="1"/>
  <c r="E126" i="1"/>
  <c r="E160" i="4"/>
  <c r="E429" i="1"/>
  <c r="E396" i="1"/>
  <c r="K394" i="1"/>
  <c r="E552" i="1"/>
  <c r="K575" i="1" s="1"/>
  <c r="E398" i="1"/>
  <c r="K396" i="1"/>
  <c r="E555" i="1"/>
  <c r="K578" i="1" s="1"/>
  <c r="E431" i="1"/>
  <c r="K395" i="1"/>
  <c r="K398" i="1"/>
  <c r="E432" i="1"/>
  <c r="E397" i="1"/>
  <c r="E556" i="1"/>
  <c r="K579" i="1" s="1"/>
  <c r="E354" i="1" s="1"/>
  <c r="E433" i="1"/>
  <c r="E395" i="1"/>
  <c r="E430" i="1"/>
  <c r="E394" i="1"/>
  <c r="K397" i="1"/>
  <c r="E553" i="1"/>
  <c r="K576" i="1" s="1"/>
  <c r="E351" i="1" s="1"/>
  <c r="E461" i="1"/>
  <c r="E314" i="4"/>
  <c r="E315" i="4"/>
  <c r="E311" i="4"/>
  <c r="E312" i="4"/>
  <c r="E313" i="4"/>
  <c r="E477" i="5"/>
  <c r="K477" i="5" s="1"/>
  <c r="E687" i="5"/>
  <c r="E690" i="5"/>
  <c r="K690" i="5"/>
  <c r="E688" i="5"/>
  <c r="E724" i="5"/>
  <c r="E689" i="5"/>
  <c r="E691" i="5"/>
  <c r="E725" i="5"/>
  <c r="K691" i="5"/>
  <c r="K126" i="5"/>
  <c r="E443" i="5"/>
  <c r="E122" i="5"/>
  <c r="K114" i="5"/>
  <c r="E718" i="5"/>
  <c r="K113" i="1"/>
  <c r="E674" i="1"/>
  <c r="K158" i="1"/>
  <c r="E199" i="1" s="1"/>
  <c r="E478" i="1" s="1"/>
  <c r="E395" i="5"/>
  <c r="K397" i="5"/>
  <c r="E431" i="5"/>
  <c r="E398" i="5"/>
  <c r="K395" i="5"/>
  <c r="E397" i="5"/>
  <c r="K400" i="5"/>
  <c r="I418" i="5" s="1"/>
  <c r="E396" i="5"/>
  <c r="E433" i="5"/>
  <c r="K398" i="5"/>
  <c r="K396" i="5"/>
  <c r="E468" i="5"/>
  <c r="E709" i="1"/>
  <c r="E428" i="1"/>
  <c r="K121" i="5"/>
  <c r="E438" i="5"/>
  <c r="E162" i="5"/>
  <c r="K162" i="5" s="1"/>
  <c r="E118" i="4"/>
  <c r="K118" i="4" s="1"/>
  <c r="E117" i="4"/>
  <c r="K117" i="4" s="1"/>
  <c r="E115" i="4"/>
  <c r="E119" i="4"/>
  <c r="K119" i="4" s="1"/>
  <c r="E116" i="4"/>
  <c r="K116" i="4" s="1"/>
  <c r="I706" i="5"/>
  <c r="E155" i="5"/>
  <c r="E466" i="5" s="1"/>
  <c r="E191" i="4"/>
  <c r="K226" i="4" s="1"/>
  <c r="C183" i="4"/>
  <c r="E187" i="4"/>
  <c r="E189" i="4"/>
  <c r="K224" i="4" s="1"/>
  <c r="E188" i="4"/>
  <c r="K223" i="4" s="1"/>
  <c r="E190" i="4"/>
  <c r="K225" i="4" s="1"/>
  <c r="K204" i="5"/>
  <c r="E478" i="5"/>
  <c r="K652" i="1"/>
  <c r="E653" i="1"/>
  <c r="E684" i="1"/>
  <c r="E652" i="1"/>
  <c r="E651" i="1"/>
  <c r="E721" i="1"/>
  <c r="E685" i="1"/>
  <c r="K653" i="1"/>
  <c r="E649" i="1"/>
  <c r="E650" i="1"/>
  <c r="K123" i="1"/>
  <c r="E424" i="1"/>
  <c r="K381" i="1"/>
  <c r="E414" i="1"/>
  <c r="K380" i="1"/>
  <c r="E379" i="1"/>
  <c r="E382" i="1"/>
  <c r="E416" i="1"/>
  <c r="E380" i="1"/>
  <c r="K382" i="1"/>
  <c r="E381" i="1"/>
  <c r="E449" i="1"/>
  <c r="E415" i="1"/>
  <c r="K379" i="1"/>
  <c r="E204" i="5"/>
  <c r="E168" i="1"/>
  <c r="K168" i="1" s="1"/>
  <c r="E122" i="1"/>
  <c r="K170" i="1"/>
  <c r="E211" i="1" s="1"/>
  <c r="E426" i="1"/>
  <c r="E194" i="5"/>
  <c r="E497" i="5" s="1"/>
  <c r="E749" i="5"/>
  <c r="I707" i="5"/>
  <c r="E688" i="1" l="1"/>
  <c r="K154" i="4"/>
  <c r="E710" i="1"/>
  <c r="E203" i="5"/>
  <c r="E235" i="5" s="1"/>
  <c r="G191" i="6"/>
  <c r="G192" i="6" s="1"/>
  <c r="E117" i="1"/>
  <c r="K117" i="1" s="1"/>
  <c r="K125" i="1"/>
  <c r="E686" i="1"/>
  <c r="K721" i="1" s="1"/>
  <c r="E730" i="5"/>
  <c r="K730" i="5" s="1"/>
  <c r="K167" i="5"/>
  <c r="C343" i="4"/>
  <c r="K749" i="5"/>
  <c r="E158" i="5"/>
  <c r="E750" i="5" s="1"/>
  <c r="K750" i="5" s="1"/>
  <c r="E113" i="4"/>
  <c r="K113" i="4" s="1"/>
  <c r="E107" i="4"/>
  <c r="K107" i="4" s="1"/>
  <c r="E450" i="1"/>
  <c r="K450" i="1" s="1"/>
  <c r="K117" i="5"/>
  <c r="K643" i="1"/>
  <c r="I661" i="1" s="1"/>
  <c r="K203" i="5"/>
  <c r="E332" i="5"/>
  <c r="K332" i="5" s="1"/>
  <c r="E434" i="5"/>
  <c r="K434" i="5" s="1"/>
  <c r="E399" i="5"/>
  <c r="C417" i="5" s="1"/>
  <c r="E446" i="5"/>
  <c r="K446" i="5" s="1"/>
  <c r="E105" i="4"/>
  <c r="K105" i="4" s="1"/>
  <c r="I127" i="4" s="1"/>
  <c r="C139" i="5"/>
  <c r="K383" i="1"/>
  <c r="I401" i="1" s="1"/>
  <c r="E758" i="5"/>
  <c r="E598" i="5"/>
  <c r="K621" i="5" s="1"/>
  <c r="E369" i="5" s="1"/>
  <c r="E106" i="4"/>
  <c r="K106" i="4" s="1"/>
  <c r="E425" i="1"/>
  <c r="E333" i="5"/>
  <c r="K333" i="5" s="1"/>
  <c r="K370" i="5" s="1"/>
  <c r="C707" i="5"/>
  <c r="E331" i="5"/>
  <c r="K331" i="5" s="1"/>
  <c r="K368" i="5" s="1"/>
  <c r="H334" i="4"/>
  <c r="E334" i="5"/>
  <c r="K334" i="5" s="1"/>
  <c r="H815" i="1"/>
  <c r="K729" i="5"/>
  <c r="E383" i="1"/>
  <c r="C401" i="1" s="1"/>
  <c r="E197" i="5"/>
  <c r="E229" i="5" s="1"/>
  <c r="C289" i="5"/>
  <c r="C272" i="1"/>
  <c r="C101" i="4"/>
  <c r="C706" i="5"/>
  <c r="K119" i="5"/>
  <c r="E752" i="5"/>
  <c r="E680" i="1"/>
  <c r="K680" i="1" s="1"/>
  <c r="E643" i="1"/>
  <c r="C661" i="1" s="1"/>
  <c r="K197" i="5"/>
  <c r="K785" i="5" s="1"/>
  <c r="E445" i="5"/>
  <c r="E681" i="1"/>
  <c r="K681" i="1" s="1"/>
  <c r="E165" i="1"/>
  <c r="K165" i="1" s="1"/>
  <c r="E206" i="1" s="1"/>
  <c r="E421" i="1"/>
  <c r="E317" i="1"/>
  <c r="K317" i="1" s="1"/>
  <c r="K354" i="1" s="1"/>
  <c r="E314" i="1"/>
  <c r="K314" i="1" s="1"/>
  <c r="E316" i="1"/>
  <c r="K316" i="1" s="1"/>
  <c r="E313" i="1"/>
  <c r="C94" i="1"/>
  <c r="C95" i="1" s="1"/>
  <c r="K758" i="5"/>
  <c r="E315" i="1"/>
  <c r="K315" i="1" s="1"/>
  <c r="E723" i="5"/>
  <c r="K752" i="5" s="1"/>
  <c r="E436" i="5"/>
  <c r="K471" i="5" s="1"/>
  <c r="E753" i="5"/>
  <c r="K753" i="5" s="1"/>
  <c r="F45" i="1"/>
  <c r="F46" i="5"/>
  <c r="F38" i="4"/>
  <c r="E98" i="6"/>
  <c r="C138" i="5"/>
  <c r="K160" i="5"/>
  <c r="K710" i="1"/>
  <c r="K425" i="1"/>
  <c r="K127" i="1"/>
  <c r="E420" i="1"/>
  <c r="K420" i="1" s="1"/>
  <c r="C212" i="4"/>
  <c r="E164" i="1"/>
  <c r="C761" i="1" s="1"/>
  <c r="C878" i="5"/>
  <c r="C820" i="1"/>
  <c r="C339" i="4"/>
  <c r="C352" i="4" s="1"/>
  <c r="C25" i="10" s="1"/>
  <c r="E198" i="5"/>
  <c r="E230" i="5" s="1"/>
  <c r="E261" i="5" s="1"/>
  <c r="E559" i="5" s="1"/>
  <c r="K198" i="5"/>
  <c r="K501" i="5" s="1"/>
  <c r="F840" i="5"/>
  <c r="B256" i="6"/>
  <c r="C840" i="5" s="1"/>
  <c r="I130" i="4"/>
  <c r="C156" i="4"/>
  <c r="I156" i="4" s="1"/>
  <c r="I119" i="4"/>
  <c r="C271" i="4"/>
  <c r="I271" i="4" s="1"/>
  <c r="I236" i="4"/>
  <c r="C159" i="4"/>
  <c r="I159" i="4" s="1"/>
  <c r="I122" i="4"/>
  <c r="C274" i="4"/>
  <c r="I274" i="4" s="1"/>
  <c r="I239" i="4"/>
  <c r="C320" i="4"/>
  <c r="C206" i="4"/>
  <c r="C241" i="4" s="1"/>
  <c r="C124" i="4"/>
  <c r="C268" i="4"/>
  <c r="I268" i="4" s="1"/>
  <c r="I233" i="4"/>
  <c r="C153" i="4"/>
  <c r="I153" i="4" s="1"/>
  <c r="I116" i="4"/>
  <c r="C267" i="4"/>
  <c r="I267" i="4" s="1"/>
  <c r="I232" i="4"/>
  <c r="C317" i="4"/>
  <c r="C203" i="4"/>
  <c r="C238" i="4" s="1"/>
  <c r="C121" i="4"/>
  <c r="C130" i="4"/>
  <c r="I123" i="4"/>
  <c r="C160" i="4"/>
  <c r="I160" i="4" s="1"/>
  <c r="C120" i="4"/>
  <c r="C316" i="4"/>
  <c r="C202" i="4"/>
  <c r="C237" i="4" s="1"/>
  <c r="I115" i="4"/>
  <c r="C152" i="4"/>
  <c r="I152" i="4" s="1"/>
  <c r="C275" i="4"/>
  <c r="I275" i="4" s="1"/>
  <c r="I240" i="4"/>
  <c r="C664" i="1"/>
  <c r="K164" i="1"/>
  <c r="E205" i="1" s="1"/>
  <c r="C801" i="1" s="1"/>
  <c r="I245" i="4"/>
  <c r="K690" i="1"/>
  <c r="I851" i="1"/>
  <c r="E169" i="5"/>
  <c r="E206" i="5" s="1"/>
  <c r="E238" i="5" s="1"/>
  <c r="E827" i="5" s="1"/>
  <c r="K150" i="4"/>
  <c r="K161" i="5"/>
  <c r="K128" i="5"/>
  <c r="K675" i="1"/>
  <c r="E419" i="1"/>
  <c r="K454" i="1" s="1"/>
  <c r="E489" i="1"/>
  <c r="K520" i="1" s="1"/>
  <c r="H816" i="1"/>
  <c r="H874" i="5"/>
  <c r="H335" i="4"/>
  <c r="I91" i="5"/>
  <c r="I95" i="5"/>
  <c r="C163" i="6"/>
  <c r="D231" i="1"/>
  <c r="E307" i="5"/>
  <c r="I139" i="5"/>
  <c r="I354" i="4"/>
  <c r="E249" i="1"/>
  <c r="E520" i="1" s="1"/>
  <c r="E714" i="1"/>
  <c r="C95" i="5"/>
  <c r="C96" i="5" s="1"/>
  <c r="E686" i="5"/>
  <c r="C704" i="5" s="1"/>
  <c r="C91" i="5"/>
  <c r="K450" i="5"/>
  <c r="E479" i="1"/>
  <c r="K692" i="1"/>
  <c r="K163" i="1"/>
  <c r="E204" i="1" s="1"/>
  <c r="K204" i="1" s="1"/>
  <c r="K151" i="4"/>
  <c r="K399" i="5"/>
  <c r="I417" i="5" s="1"/>
  <c r="E148" i="4"/>
  <c r="E263" i="4" s="1"/>
  <c r="E679" i="1"/>
  <c r="K679" i="1" s="1"/>
  <c r="D192" i="1"/>
  <c r="C154" i="6"/>
  <c r="E165" i="5"/>
  <c r="E441" i="5"/>
  <c r="K441" i="5" s="1"/>
  <c r="E728" i="5"/>
  <c r="K728" i="5" s="1"/>
  <c r="E720" i="1"/>
  <c r="K118" i="1"/>
  <c r="K210" i="1"/>
  <c r="E444" i="5"/>
  <c r="K444" i="5" s="1"/>
  <c r="K431" i="1"/>
  <c r="K149" i="4"/>
  <c r="E168" i="5"/>
  <c r="E760" i="5" s="1"/>
  <c r="K760" i="5" s="1"/>
  <c r="E460" i="1"/>
  <c r="I664" i="1"/>
  <c r="K127" i="5"/>
  <c r="K164" i="5"/>
  <c r="E506" i="5"/>
  <c r="K235" i="5"/>
  <c r="K535" i="5" s="1"/>
  <c r="C211" i="4"/>
  <c r="E264" i="4"/>
  <c r="K264" i="4" s="1"/>
  <c r="K497" i="5"/>
  <c r="C354" i="4"/>
  <c r="C210" i="4"/>
  <c r="E791" i="5"/>
  <c r="K691" i="1"/>
  <c r="K432" i="5"/>
  <c r="C323" i="4"/>
  <c r="C344" i="4" s="1"/>
  <c r="I345" i="4"/>
  <c r="K249" i="1"/>
  <c r="E756" i="5"/>
  <c r="E201" i="5"/>
  <c r="E789" i="5" s="1"/>
  <c r="K447" i="5"/>
  <c r="K415" i="1"/>
  <c r="E440" i="5"/>
  <c r="K440" i="5" s="1"/>
  <c r="I402" i="1"/>
  <c r="E677" i="1"/>
  <c r="K677" i="1" s="1"/>
  <c r="K121" i="1"/>
  <c r="C137" i="5"/>
  <c r="E727" i="5"/>
  <c r="I860" i="1"/>
  <c r="K123" i="5"/>
  <c r="K116" i="1"/>
  <c r="C402" i="1"/>
  <c r="E161" i="1"/>
  <c r="E452" i="1" s="1"/>
  <c r="K452" i="1" s="1"/>
  <c r="K201" i="5"/>
  <c r="K110" i="4"/>
  <c r="C128" i="4"/>
  <c r="E655" i="5"/>
  <c r="K655" i="5" s="1"/>
  <c r="K430" i="1"/>
  <c r="C403" i="1"/>
  <c r="C326" i="4"/>
  <c r="E171" i="1"/>
  <c r="E722" i="1" s="1"/>
  <c r="K126" i="1"/>
  <c r="E166" i="1"/>
  <c r="E717" i="1" s="1"/>
  <c r="K682" i="1"/>
  <c r="I403" i="1"/>
  <c r="C137" i="1"/>
  <c r="K417" i="1"/>
  <c r="K172" i="1"/>
  <c r="K416" i="1"/>
  <c r="E687" i="1"/>
  <c r="C698" i="1" s="1"/>
  <c r="C699" i="1"/>
  <c r="E350" i="1"/>
  <c r="E719" i="1"/>
  <c r="K719" i="1" s="1"/>
  <c r="K688" i="1"/>
  <c r="E726" i="5"/>
  <c r="K726" i="5" s="1"/>
  <c r="I404" i="1"/>
  <c r="C420" i="5"/>
  <c r="E657" i="5"/>
  <c r="K657" i="5" s="1"/>
  <c r="C662" i="1"/>
  <c r="C760" i="1"/>
  <c r="C404" i="1"/>
  <c r="K429" i="1"/>
  <c r="K118" i="5"/>
  <c r="E722" i="5"/>
  <c r="E159" i="5"/>
  <c r="K371" i="5"/>
  <c r="E658" i="5"/>
  <c r="K658" i="5" s="1"/>
  <c r="I420" i="5"/>
  <c r="E611" i="1"/>
  <c r="K611" i="1" s="1"/>
  <c r="K351" i="1"/>
  <c r="E678" i="1"/>
  <c r="K678" i="1" s="1"/>
  <c r="E422" i="1"/>
  <c r="K422" i="1" s="1"/>
  <c r="C136" i="1"/>
  <c r="C439" i="1"/>
  <c r="E719" i="5"/>
  <c r="K719" i="5" s="1"/>
  <c r="E156" i="5"/>
  <c r="K115" i="5"/>
  <c r="K448" i="5"/>
  <c r="E711" i="1"/>
  <c r="K160" i="1"/>
  <c r="E201" i="1" s="1"/>
  <c r="E353" i="1"/>
  <c r="E427" i="1"/>
  <c r="C438" i="1" s="1"/>
  <c r="E157" i="4"/>
  <c r="I247" i="4"/>
  <c r="K449" i="5"/>
  <c r="E451" i="1"/>
  <c r="K451" i="1" s="1"/>
  <c r="C136" i="5"/>
  <c r="E614" i="1"/>
  <c r="K614" i="1" s="1"/>
  <c r="K433" i="1"/>
  <c r="K432" i="1"/>
  <c r="I585" i="1"/>
  <c r="E352" i="1"/>
  <c r="E275" i="4"/>
  <c r="K275" i="4" s="1"/>
  <c r="K160" i="4"/>
  <c r="E490" i="1"/>
  <c r="E250" i="1"/>
  <c r="K250" i="1" s="1"/>
  <c r="K211" i="1"/>
  <c r="E755" i="1"/>
  <c r="E145" i="4"/>
  <c r="K428" i="1"/>
  <c r="K195" i="5"/>
  <c r="E195" i="5"/>
  <c r="K431" i="5"/>
  <c r="E17" i="10"/>
  <c r="K122" i="1"/>
  <c r="E167" i="1"/>
  <c r="E423" i="1"/>
  <c r="E683" i="1"/>
  <c r="K684" i="1"/>
  <c r="C663" i="1"/>
  <c r="I663" i="1"/>
  <c r="K153" i="4"/>
  <c r="K438" i="5"/>
  <c r="K725" i="5"/>
  <c r="E744" i="1"/>
  <c r="E239" i="1"/>
  <c r="K239" i="1" s="1"/>
  <c r="E276" i="1" s="1"/>
  <c r="C325" i="4"/>
  <c r="C327" i="4"/>
  <c r="K424" i="1"/>
  <c r="K685" i="1"/>
  <c r="E202" i="1"/>
  <c r="K156" i="4"/>
  <c r="K199" i="1"/>
  <c r="K466" i="5"/>
  <c r="K791" i="5"/>
  <c r="K506" i="5"/>
  <c r="C705" i="5"/>
  <c r="K723" i="5"/>
  <c r="K721" i="5"/>
  <c r="E469" i="5"/>
  <c r="K469" i="5" s="1"/>
  <c r="K718" i="5"/>
  <c r="E754" i="5"/>
  <c r="K158" i="5"/>
  <c r="E144" i="4"/>
  <c r="K155" i="5"/>
  <c r="K115" i="4"/>
  <c r="C129" i="4"/>
  <c r="K414" i="1"/>
  <c r="K155" i="4"/>
  <c r="K421" i="1"/>
  <c r="K122" i="5"/>
  <c r="E439" i="5"/>
  <c r="E163" i="5"/>
  <c r="K163" i="5" s="1"/>
  <c r="K724" i="5"/>
  <c r="K226" i="5"/>
  <c r="K526" i="5" s="1"/>
  <c r="E782" i="5"/>
  <c r="E226" i="5"/>
  <c r="K426" i="1"/>
  <c r="K461" i="1"/>
  <c r="E535" i="5"/>
  <c r="E824" i="5"/>
  <c r="E266" i="5"/>
  <c r="K507" i="5"/>
  <c r="K792" i="5"/>
  <c r="C209" i="4"/>
  <c r="K222" i="4"/>
  <c r="E142" i="4" s="1"/>
  <c r="E257" i="4" s="1"/>
  <c r="C17" i="10"/>
  <c r="C18" i="10" s="1"/>
  <c r="C213" i="4"/>
  <c r="C214" i="4" s="1"/>
  <c r="E213" i="1"/>
  <c r="E463" i="1"/>
  <c r="K463" i="1" s="1"/>
  <c r="K674" i="1"/>
  <c r="K709" i="1"/>
  <c r="C799" i="5"/>
  <c r="E459" i="1"/>
  <c r="K459" i="1" s="1"/>
  <c r="E209" i="1"/>
  <c r="K209" i="1" s="1"/>
  <c r="K449" i="1"/>
  <c r="K723" i="1"/>
  <c r="K468" i="5"/>
  <c r="K433" i="5"/>
  <c r="I705" i="5"/>
  <c r="I708" i="5" s="1"/>
  <c r="C860" i="1"/>
  <c r="C851" i="1"/>
  <c r="C797" i="5"/>
  <c r="E747" i="5"/>
  <c r="E192" i="5"/>
  <c r="K192" i="5"/>
  <c r="E743" i="1"/>
  <c r="E238" i="1"/>
  <c r="K238" i="1" s="1"/>
  <c r="E143" i="4"/>
  <c r="I246" i="4"/>
  <c r="E152" i="4"/>
  <c r="E792" i="5"/>
  <c r="E507" i="5"/>
  <c r="K236" i="5"/>
  <c r="K536" i="5" s="1"/>
  <c r="E236" i="5"/>
  <c r="E199" i="5"/>
  <c r="E473" i="5"/>
  <c r="K473" i="5" s="1"/>
  <c r="K199" i="5"/>
  <c r="K759" i="5"/>
  <c r="K478" i="5"/>
  <c r="K443" i="5"/>
  <c r="K445" i="5"/>
  <c r="E146" i="4"/>
  <c r="E269" i="5" l="1"/>
  <c r="K269" i="5" s="1"/>
  <c r="E538" i="5"/>
  <c r="C456" i="5"/>
  <c r="E480" i="5"/>
  <c r="K480" i="5" s="1"/>
  <c r="I405" i="1"/>
  <c r="C453" i="5"/>
  <c r="K233" i="5"/>
  <c r="K533" i="5" s="1"/>
  <c r="C135" i="1"/>
  <c r="E794" i="5"/>
  <c r="K435" i="5"/>
  <c r="K460" i="1"/>
  <c r="K489" i="1" s="1"/>
  <c r="E501" i="5"/>
  <c r="E786" i="5"/>
  <c r="E530" i="5"/>
  <c r="K559" i="5" s="1"/>
  <c r="E785" i="5"/>
  <c r="E418" i="1"/>
  <c r="C436" i="1" s="1"/>
  <c r="C440" i="1" s="1"/>
  <c r="K686" i="1"/>
  <c r="E162" i="1"/>
  <c r="K162" i="1" s="1"/>
  <c r="C127" i="4"/>
  <c r="K722" i="5"/>
  <c r="E761" i="5"/>
  <c r="K761" i="5" s="1"/>
  <c r="C177" i="1"/>
  <c r="E500" i="5"/>
  <c r="K238" i="5"/>
  <c r="K538" i="5" s="1"/>
  <c r="K786" i="5"/>
  <c r="C172" i="5"/>
  <c r="K205" i="5"/>
  <c r="K436" i="5"/>
  <c r="K206" i="5"/>
  <c r="K509" i="5" s="1"/>
  <c r="K500" i="5"/>
  <c r="E819" i="5"/>
  <c r="K850" i="5" s="1"/>
  <c r="C737" i="5"/>
  <c r="K169" i="5"/>
  <c r="E850" i="5"/>
  <c r="K419" i="1"/>
  <c r="K230" i="5"/>
  <c r="K530" i="5" s="1"/>
  <c r="C708" i="5"/>
  <c r="E23" i="10" s="1"/>
  <c r="E509" i="5"/>
  <c r="I137" i="1"/>
  <c r="K261" i="5"/>
  <c r="E298" i="5" s="1"/>
  <c r="E887" i="5" s="1"/>
  <c r="E712" i="1"/>
  <c r="I138" i="5"/>
  <c r="K205" i="1"/>
  <c r="I173" i="5"/>
  <c r="I737" i="5"/>
  <c r="I699" i="1"/>
  <c r="E212" i="1"/>
  <c r="C218" i="1" s="1"/>
  <c r="E749" i="1"/>
  <c r="E716" i="1"/>
  <c r="K716" i="1" s="1"/>
  <c r="C736" i="5"/>
  <c r="K313" i="1"/>
  <c r="I323" i="1" s="1"/>
  <c r="C323" i="1"/>
  <c r="E484" i="1"/>
  <c r="E244" i="1"/>
  <c r="K244" i="1" s="1"/>
  <c r="C762" i="1"/>
  <c r="E456" i="1"/>
  <c r="K456" i="1" s="1"/>
  <c r="I665" i="1"/>
  <c r="E286" i="1"/>
  <c r="E548" i="1" s="1"/>
  <c r="K571" i="1" s="1"/>
  <c r="E715" i="1"/>
  <c r="K715" i="1" s="1"/>
  <c r="E455" i="1"/>
  <c r="K455" i="1" s="1"/>
  <c r="F39" i="4"/>
  <c r="F46" i="1"/>
  <c r="F47" i="5"/>
  <c r="E99" i="6"/>
  <c r="E504" i="5"/>
  <c r="K687" i="1"/>
  <c r="I698" i="1" s="1"/>
  <c r="C276" i="4"/>
  <c r="I276" i="4" s="1"/>
  <c r="I241" i="4"/>
  <c r="C161" i="4"/>
  <c r="I161" i="4" s="1"/>
  <c r="I124" i="4"/>
  <c r="C273" i="4"/>
  <c r="I273" i="4" s="1"/>
  <c r="I238" i="4"/>
  <c r="I237" i="4"/>
  <c r="C272" i="4"/>
  <c r="I272" i="4" s="1"/>
  <c r="I120" i="4"/>
  <c r="C157" i="4"/>
  <c r="I157" i="4" s="1"/>
  <c r="C158" i="4"/>
  <c r="I158" i="4" s="1"/>
  <c r="I121" i="4"/>
  <c r="C165" i="4"/>
  <c r="K148" i="4"/>
  <c r="K720" i="1"/>
  <c r="K754" i="1" s="1"/>
  <c r="E243" i="1"/>
  <c r="K243" i="1" s="1"/>
  <c r="E280" i="1" s="1"/>
  <c r="C174" i="5"/>
  <c r="I137" i="5"/>
  <c r="E483" i="1"/>
  <c r="K483" i="1" s="1"/>
  <c r="C140" i="5"/>
  <c r="E794" i="1"/>
  <c r="K794" i="1" s="1"/>
  <c r="K479" i="1"/>
  <c r="E233" i="5"/>
  <c r="E533" i="5" s="1"/>
  <c r="K722" i="1"/>
  <c r="H817" i="1"/>
  <c r="G193" i="6"/>
  <c r="H336" i="4"/>
  <c r="H875" i="5"/>
  <c r="K165" i="5"/>
  <c r="E476" i="5"/>
  <c r="K476" i="5" s="1"/>
  <c r="E202" i="5"/>
  <c r="K202" i="5"/>
  <c r="I211" i="5" s="1"/>
  <c r="E757" i="5"/>
  <c r="K757" i="5" s="1"/>
  <c r="I766" i="5" s="1"/>
  <c r="K714" i="1"/>
  <c r="C155" i="6"/>
  <c r="D193" i="1"/>
  <c r="E896" i="5"/>
  <c r="E330" i="5"/>
  <c r="E596" i="5"/>
  <c r="K619" i="5" s="1"/>
  <c r="E748" i="1"/>
  <c r="C697" i="1"/>
  <c r="C455" i="5"/>
  <c r="C164" i="6"/>
  <c r="D232" i="1"/>
  <c r="K168" i="5"/>
  <c r="E479" i="5"/>
  <c r="K479" i="5" s="1"/>
  <c r="E205" i="5"/>
  <c r="K237" i="5" s="1"/>
  <c r="K537" i="5" s="1"/>
  <c r="K756" i="5"/>
  <c r="C131" i="4"/>
  <c r="C11" i="10" s="1"/>
  <c r="I344" i="4"/>
  <c r="I353" i="4"/>
  <c r="K727" i="5"/>
  <c r="K418" i="1"/>
  <c r="I436" i="1" s="1"/>
  <c r="C353" i="4"/>
  <c r="K490" i="1"/>
  <c r="C728" i="1"/>
  <c r="C800" i="1"/>
  <c r="K475" i="5"/>
  <c r="I136" i="1"/>
  <c r="K161" i="1"/>
  <c r="I175" i="1" s="1"/>
  <c r="E462" i="1"/>
  <c r="K462" i="1" s="1"/>
  <c r="I421" i="5"/>
  <c r="C763" i="1"/>
  <c r="K213" i="1"/>
  <c r="I128" i="4"/>
  <c r="K147" i="4"/>
  <c r="K171" i="1"/>
  <c r="I177" i="1" s="1"/>
  <c r="K504" i="5"/>
  <c r="K789" i="5"/>
  <c r="I135" i="1"/>
  <c r="K755" i="1"/>
  <c r="E207" i="1"/>
  <c r="E486" i="1" s="1"/>
  <c r="I456" i="5"/>
  <c r="K166" i="1"/>
  <c r="C175" i="1"/>
  <c r="E457" i="1"/>
  <c r="K457" i="1" s="1"/>
  <c r="C665" i="1"/>
  <c r="C666" i="1" s="1"/>
  <c r="I347" i="4"/>
  <c r="C347" i="4"/>
  <c r="C356" i="4"/>
  <c r="I356" i="4"/>
  <c r="C139" i="1"/>
  <c r="K427" i="1"/>
  <c r="K156" i="5"/>
  <c r="C405" i="1"/>
  <c r="C406" i="1" s="1"/>
  <c r="C437" i="1"/>
  <c r="I136" i="5"/>
  <c r="K711" i="1"/>
  <c r="I439" i="1"/>
  <c r="C696" i="1"/>
  <c r="I735" i="5"/>
  <c r="E656" i="5"/>
  <c r="K656" i="5" s="1"/>
  <c r="K369" i="5"/>
  <c r="E240" i="1"/>
  <c r="E480" i="1"/>
  <c r="K480" i="1" s="1"/>
  <c r="E745" i="1"/>
  <c r="C735" i="5"/>
  <c r="K743" i="1"/>
  <c r="C421" i="5"/>
  <c r="E287" i="1"/>
  <c r="E549" i="1" s="1"/>
  <c r="K572" i="1" s="1"/>
  <c r="E272" i="4"/>
  <c r="K157" i="4"/>
  <c r="I167" i="4" s="1"/>
  <c r="C167" i="4"/>
  <c r="K352" i="1"/>
  <c r="E612" i="1"/>
  <c r="K612" i="1" s="1"/>
  <c r="E193" i="5"/>
  <c r="C798" i="5"/>
  <c r="E748" i="5"/>
  <c r="K748" i="5" s="1"/>
  <c r="K193" i="5"/>
  <c r="E467" i="5"/>
  <c r="K467" i="5" s="1"/>
  <c r="E453" i="1"/>
  <c r="E713" i="1"/>
  <c r="K713" i="1" s="1"/>
  <c r="E203" i="1"/>
  <c r="K203" i="1" s="1"/>
  <c r="E610" i="1"/>
  <c r="C360" i="1"/>
  <c r="K159" i="5"/>
  <c r="E470" i="5"/>
  <c r="K470" i="5" s="1"/>
  <c r="K196" i="5"/>
  <c r="E196" i="5"/>
  <c r="E751" i="5"/>
  <c r="K751" i="5" s="1"/>
  <c r="K201" i="1"/>
  <c r="E613" i="1"/>
  <c r="K613" i="1" s="1"/>
  <c r="K353" i="1"/>
  <c r="K508" i="5"/>
  <c r="K793" i="5"/>
  <c r="I244" i="4"/>
  <c r="I248" i="4" s="1"/>
  <c r="C249" i="4" s="1"/>
  <c r="C166" i="4"/>
  <c r="E267" i="4"/>
  <c r="E564" i="5"/>
  <c r="K564" i="5" s="1"/>
  <c r="E855" i="5"/>
  <c r="K855" i="5" s="1"/>
  <c r="E485" i="1"/>
  <c r="E245" i="1"/>
  <c r="K245" i="1" s="1"/>
  <c r="E750" i="1"/>
  <c r="K750" i="1" s="1"/>
  <c r="C802" i="1"/>
  <c r="I455" i="5"/>
  <c r="E825" i="5"/>
  <c r="E536" i="5"/>
  <c r="E267" i="5"/>
  <c r="K267" i="5" s="1"/>
  <c r="E304" i="5" s="1"/>
  <c r="E258" i="4"/>
  <c r="K258" i="4" s="1"/>
  <c r="K143" i="4"/>
  <c r="K780" i="5"/>
  <c r="K495" i="5"/>
  <c r="E491" i="1"/>
  <c r="E756" i="1"/>
  <c r="K206" i="1"/>
  <c r="I728" i="1"/>
  <c r="E259" i="4"/>
  <c r="K259" i="4" s="1"/>
  <c r="K144" i="4"/>
  <c r="E299" i="1"/>
  <c r="K299" i="1" s="1"/>
  <c r="E538" i="1"/>
  <c r="K561" i="1" s="1"/>
  <c r="E208" i="1"/>
  <c r="E458" i="1"/>
  <c r="K458" i="1" s="1"/>
  <c r="E718" i="1"/>
  <c r="K718" i="1" s="1"/>
  <c r="E261" i="4"/>
  <c r="K261" i="4" s="1"/>
  <c r="K146" i="4"/>
  <c r="K502" i="5"/>
  <c r="K787" i="5"/>
  <c r="E224" i="5"/>
  <c r="E780" i="5"/>
  <c r="E495" i="5"/>
  <c r="K827" i="5"/>
  <c r="E260" i="5"/>
  <c r="K260" i="5" s="1"/>
  <c r="E529" i="5"/>
  <c r="E818" i="5"/>
  <c r="E783" i="5"/>
  <c r="K227" i="5"/>
  <c r="K527" i="5" s="1"/>
  <c r="E227" i="5"/>
  <c r="E498" i="5"/>
  <c r="E252" i="1"/>
  <c r="E492" i="1"/>
  <c r="K492" i="1" s="1"/>
  <c r="E757" i="1"/>
  <c r="E815" i="5"/>
  <c r="K815" i="5" s="1"/>
  <c r="E257" i="5"/>
  <c r="K257" i="5" s="1"/>
  <c r="E294" i="5" s="1"/>
  <c r="E526" i="5"/>
  <c r="E474" i="5"/>
  <c r="C484" i="5" s="1"/>
  <c r="E200" i="5"/>
  <c r="K200" i="5"/>
  <c r="C173" i="5"/>
  <c r="E755" i="5"/>
  <c r="K755" i="5" s="1"/>
  <c r="K717" i="1"/>
  <c r="K747" i="5"/>
  <c r="I736" i="5"/>
  <c r="E746" i="1"/>
  <c r="E241" i="1"/>
  <c r="K241" i="1" s="1"/>
  <c r="E481" i="1"/>
  <c r="I453" i="5"/>
  <c r="K783" i="5"/>
  <c r="K498" i="5"/>
  <c r="E260" i="4"/>
  <c r="K260" i="4" s="1"/>
  <c r="K145" i="4"/>
  <c r="E521" i="1"/>
  <c r="K521" i="1" s="1"/>
  <c r="E795" i="1"/>
  <c r="K795" i="1" s="1"/>
  <c r="K439" i="5"/>
  <c r="C24" i="10"/>
  <c r="C23" i="10"/>
  <c r="C454" i="5"/>
  <c r="C346" i="4"/>
  <c r="C355" i="4"/>
  <c r="I346" i="4"/>
  <c r="I355" i="4"/>
  <c r="C800" i="5"/>
  <c r="K478" i="1"/>
  <c r="K712" i="1"/>
  <c r="E275" i="1"/>
  <c r="K231" i="5"/>
  <c r="K531" i="5" s="1"/>
  <c r="E502" i="5"/>
  <c r="E231" i="5"/>
  <c r="E787" i="5"/>
  <c r="C280" i="4"/>
  <c r="K263" i="4"/>
  <c r="I280" i="4" s="1"/>
  <c r="K683" i="1"/>
  <c r="I697" i="1" s="1"/>
  <c r="K824" i="5"/>
  <c r="E783" i="1"/>
  <c r="K783" i="1" s="1"/>
  <c r="E509" i="1"/>
  <c r="E488" i="1"/>
  <c r="K488" i="1" s="1"/>
  <c r="E248" i="1"/>
  <c r="E753" i="1"/>
  <c r="K753" i="1" s="1"/>
  <c r="K754" i="5"/>
  <c r="I696" i="1"/>
  <c r="E784" i="1"/>
  <c r="K784" i="1" s="1"/>
  <c r="E510" i="1"/>
  <c r="K510" i="1" s="1"/>
  <c r="E858" i="5"/>
  <c r="K858" i="5" s="1"/>
  <c r="E567" i="5"/>
  <c r="K567" i="5" s="1"/>
  <c r="K423" i="1"/>
  <c r="I437" i="1" s="1"/>
  <c r="C176" i="1"/>
  <c r="E793" i="5"/>
  <c r="K266" i="5"/>
  <c r="E303" i="5" s="1"/>
  <c r="K229" i="5"/>
  <c r="K152" i="4"/>
  <c r="I166" i="4" s="1"/>
  <c r="I129" i="4"/>
  <c r="I438" i="1"/>
  <c r="K744" i="1"/>
  <c r="K167" i="1"/>
  <c r="I176" i="1" l="1"/>
  <c r="C178" i="1"/>
  <c r="E587" i="5"/>
  <c r="K610" i="5" s="1"/>
  <c r="E358" i="5" s="1"/>
  <c r="E645" i="5" s="1"/>
  <c r="K645" i="5" s="1"/>
  <c r="K819" i="5"/>
  <c r="E321" i="5"/>
  <c r="K321" i="5" s="1"/>
  <c r="K358" i="5" s="1"/>
  <c r="E251" i="1"/>
  <c r="K251" i="1" s="1"/>
  <c r="E515" i="1"/>
  <c r="K515" i="1" s="1"/>
  <c r="K453" i="1"/>
  <c r="I466" i="1" s="1"/>
  <c r="K794" i="5"/>
  <c r="E237" i="5"/>
  <c r="K207" i="1"/>
  <c r="C727" i="1"/>
  <c r="E508" i="5"/>
  <c r="C33" i="10"/>
  <c r="I454" i="5"/>
  <c r="I457" i="5" s="1"/>
  <c r="E309" i="1"/>
  <c r="K309" i="1" s="1"/>
  <c r="C738" i="5"/>
  <c r="E789" i="1"/>
  <c r="K789" i="1" s="1"/>
  <c r="E306" i="5"/>
  <c r="E895" i="5" s="1"/>
  <c r="I131" i="4"/>
  <c r="K749" i="1"/>
  <c r="E829" i="1" s="1"/>
  <c r="C468" i="1"/>
  <c r="C485" i="5"/>
  <c r="E281" i="1"/>
  <c r="E304" i="1" s="1"/>
  <c r="K304" i="1" s="1"/>
  <c r="C175" i="5"/>
  <c r="E13" i="10" s="1"/>
  <c r="C700" i="1"/>
  <c r="E282" i="1"/>
  <c r="I485" i="5"/>
  <c r="E834" i="1"/>
  <c r="E543" i="1"/>
  <c r="K566" i="1" s="1"/>
  <c r="E341" i="1" s="1"/>
  <c r="E601" i="1" s="1"/>
  <c r="K601" i="1" s="1"/>
  <c r="C766" i="5"/>
  <c r="K748" i="1"/>
  <c r="I172" i="5"/>
  <c r="I174" i="5"/>
  <c r="I175" i="5" s="1"/>
  <c r="C176" i="5" s="1"/>
  <c r="K350" i="1"/>
  <c r="I360" i="1" s="1"/>
  <c r="K484" i="1"/>
  <c r="E514" i="1"/>
  <c r="K514" i="1" s="1"/>
  <c r="C457" i="5"/>
  <c r="F47" i="1"/>
  <c r="F40" i="4"/>
  <c r="F48" i="5"/>
  <c r="E100" i="6"/>
  <c r="E788" i="1"/>
  <c r="K788" i="1" s="1"/>
  <c r="E828" i="1" s="1"/>
  <c r="I139" i="1"/>
  <c r="C140" i="1" s="1"/>
  <c r="E822" i="5"/>
  <c r="K822" i="5" s="1"/>
  <c r="C726" i="1"/>
  <c r="I165" i="4"/>
  <c r="K212" i="1"/>
  <c r="I218" i="1" s="1"/>
  <c r="I140" i="5"/>
  <c r="C141" i="5" s="1"/>
  <c r="C422" i="5"/>
  <c r="E367" i="5"/>
  <c r="I629" i="5"/>
  <c r="E505" i="5"/>
  <c r="E790" i="5"/>
  <c r="C803" i="5" s="1"/>
  <c r="E234" i="5"/>
  <c r="C243" i="5" s="1"/>
  <c r="K746" i="1"/>
  <c r="E264" i="5"/>
  <c r="K264" i="5" s="1"/>
  <c r="E301" i="5" s="1"/>
  <c r="E324" i="5" s="1"/>
  <c r="K324" i="5" s="1"/>
  <c r="K330" i="5"/>
  <c r="C340" i="5"/>
  <c r="I918" i="5"/>
  <c r="C918" i="5"/>
  <c r="C909" i="5"/>
  <c r="I909" i="5"/>
  <c r="D233" i="1"/>
  <c r="C165" i="6"/>
  <c r="D234" i="1" s="1"/>
  <c r="D194" i="1"/>
  <c r="C156" i="6"/>
  <c r="D195" i="1" s="1"/>
  <c r="D23" i="10"/>
  <c r="H818" i="1"/>
  <c r="H876" i="5"/>
  <c r="H337" i="4"/>
  <c r="C211" i="5"/>
  <c r="K505" i="5"/>
  <c r="I514" i="5" s="1"/>
  <c r="K790" i="5"/>
  <c r="I803" i="5" s="1"/>
  <c r="I468" i="1"/>
  <c r="K491" i="1"/>
  <c r="I497" i="1" s="1"/>
  <c r="K202" i="1"/>
  <c r="E278" i="1" s="1"/>
  <c r="I357" i="4"/>
  <c r="E246" i="1"/>
  <c r="I178" i="1"/>
  <c r="C179" i="1" s="1"/>
  <c r="C209" i="5"/>
  <c r="I348" i="4"/>
  <c r="I727" i="1"/>
  <c r="D17" i="10"/>
  <c r="E751" i="1"/>
  <c r="K751" i="1" s="1"/>
  <c r="C803" i="1"/>
  <c r="I483" i="5"/>
  <c r="K486" i="1"/>
  <c r="C357" i="4"/>
  <c r="I738" i="5"/>
  <c r="I764" i="5"/>
  <c r="K208" i="1"/>
  <c r="I217" i="1" s="1"/>
  <c r="E310" i="1"/>
  <c r="K310" i="1" s="1"/>
  <c r="I726" i="1"/>
  <c r="I467" i="1"/>
  <c r="C348" i="4"/>
  <c r="E835" i="1"/>
  <c r="E329" i="5"/>
  <c r="K329" i="5" s="1"/>
  <c r="C764" i="5"/>
  <c r="C466" i="1"/>
  <c r="C483" i="5"/>
  <c r="K781" i="5"/>
  <c r="K496" i="5"/>
  <c r="E785" i="1"/>
  <c r="K785" i="1" s="1"/>
  <c r="K240" i="1"/>
  <c r="E511" i="1"/>
  <c r="K511" i="1" s="1"/>
  <c r="K745" i="1"/>
  <c r="I765" i="5"/>
  <c r="C216" i="1"/>
  <c r="E824" i="1"/>
  <c r="I209" i="5"/>
  <c r="K228" i="5"/>
  <c r="K528" i="5" s="1"/>
  <c r="E784" i="5"/>
  <c r="E499" i="5"/>
  <c r="E228" i="5"/>
  <c r="C620" i="1"/>
  <c r="K610" i="1"/>
  <c r="I620" i="1" s="1"/>
  <c r="E225" i="5"/>
  <c r="E496" i="5"/>
  <c r="K225" i="5"/>
  <c r="K525" i="5" s="1"/>
  <c r="E781" i="5"/>
  <c r="C801" i="5" s="1"/>
  <c r="K784" i="5"/>
  <c r="I801" i="5" s="1"/>
  <c r="K499" i="5"/>
  <c r="E747" i="1"/>
  <c r="K747" i="1" s="1"/>
  <c r="E242" i="1"/>
  <c r="E482" i="1"/>
  <c r="K482" i="1" s="1"/>
  <c r="K272" i="4"/>
  <c r="I282" i="4" s="1"/>
  <c r="C282" i="4"/>
  <c r="E823" i="1"/>
  <c r="C132" i="4"/>
  <c r="C8" i="10"/>
  <c r="E317" i="5"/>
  <c r="K317" i="5" s="1"/>
  <c r="E883" i="5"/>
  <c r="E583" i="5"/>
  <c r="K606" i="5" s="1"/>
  <c r="E519" i="1"/>
  <c r="K519" i="1" s="1"/>
  <c r="E793" i="1"/>
  <c r="K793" i="1" s="1"/>
  <c r="E833" i="1" s="1"/>
  <c r="K503" i="5"/>
  <c r="I513" i="5" s="1"/>
  <c r="K788" i="5"/>
  <c r="I802" i="5" s="1"/>
  <c r="I210" i="5"/>
  <c r="C32" i="10"/>
  <c r="E816" i="5"/>
  <c r="E258" i="5"/>
  <c r="E527" i="5"/>
  <c r="E544" i="1"/>
  <c r="K567" i="1" s="1"/>
  <c r="E305" i="1"/>
  <c r="K305" i="1" s="1"/>
  <c r="E593" i="5"/>
  <c r="K616" i="5" s="1"/>
  <c r="E893" i="5"/>
  <c r="E327" i="5"/>
  <c r="K327" i="5" s="1"/>
  <c r="K248" i="1"/>
  <c r="K485" i="1"/>
  <c r="K818" i="5"/>
  <c r="E347" i="1"/>
  <c r="E607" i="1" s="1"/>
  <c r="K607" i="1" s="1"/>
  <c r="K474" i="5"/>
  <c r="I484" i="5" s="1"/>
  <c r="E297" i="5"/>
  <c r="E826" i="5"/>
  <c r="K826" i="5" s="1"/>
  <c r="E537" i="5"/>
  <c r="E268" i="5"/>
  <c r="E786" i="1"/>
  <c r="E512" i="1"/>
  <c r="K512" i="1" s="1"/>
  <c r="I440" i="1"/>
  <c r="C441" i="1" s="1"/>
  <c r="E558" i="5"/>
  <c r="K558" i="5" s="1"/>
  <c r="E849" i="5"/>
  <c r="K849" i="5" s="1"/>
  <c r="K756" i="1"/>
  <c r="C164" i="4"/>
  <c r="C168" i="4" s="1"/>
  <c r="K142" i="4"/>
  <c r="I164" i="4" s="1"/>
  <c r="E503" i="5"/>
  <c r="C513" i="5" s="1"/>
  <c r="K232" i="5"/>
  <c r="K532" i="5" s="1"/>
  <c r="E232" i="5"/>
  <c r="C242" i="5" s="1"/>
  <c r="E788" i="5"/>
  <c r="C802" i="5" s="1"/>
  <c r="E346" i="1"/>
  <c r="E606" i="1" s="1"/>
  <c r="K606" i="1" s="1"/>
  <c r="E531" i="5"/>
  <c r="E262" i="5"/>
  <c r="E820" i="5"/>
  <c r="K820" i="5" s="1"/>
  <c r="E523" i="1"/>
  <c r="K523" i="1" s="1"/>
  <c r="E797" i="1"/>
  <c r="K797" i="1" s="1"/>
  <c r="C766" i="1"/>
  <c r="E255" i="5"/>
  <c r="K255" i="5" s="1"/>
  <c r="E813" i="5"/>
  <c r="K813" i="5" s="1"/>
  <c r="E524" i="5"/>
  <c r="E856" i="5"/>
  <c r="K856" i="5" s="1"/>
  <c r="E565" i="5"/>
  <c r="K565" i="5" s="1"/>
  <c r="E790" i="1"/>
  <c r="K790" i="1" s="1"/>
  <c r="E516" i="1"/>
  <c r="K516" i="1" s="1"/>
  <c r="C34" i="10"/>
  <c r="C765" i="5"/>
  <c r="C210" i="5"/>
  <c r="K509" i="1"/>
  <c r="E247" i="1"/>
  <c r="K247" i="1" s="1"/>
  <c r="E487" i="1"/>
  <c r="K487" i="1" s="1"/>
  <c r="E752" i="1"/>
  <c r="K752" i="1" s="1"/>
  <c r="K529" i="5"/>
  <c r="C281" i="4"/>
  <c r="K267" i="4"/>
  <c r="I281" i="4" s="1"/>
  <c r="E298" i="1"/>
  <c r="E537" i="1"/>
  <c r="K825" i="5"/>
  <c r="K252" i="1"/>
  <c r="E289" i="1" s="1"/>
  <c r="E592" i="5"/>
  <c r="K615" i="5" s="1"/>
  <c r="E892" i="5"/>
  <c r="E326" i="5"/>
  <c r="K326" i="5" s="1"/>
  <c r="I700" i="1"/>
  <c r="K481" i="1"/>
  <c r="E846" i="5"/>
  <c r="K846" i="5" s="1"/>
  <c r="E555" i="5"/>
  <c r="K555" i="5" s="1"/>
  <c r="K224" i="5"/>
  <c r="E336" i="1"/>
  <c r="E596" i="1" s="1"/>
  <c r="K596" i="1" s="1"/>
  <c r="C467" i="1"/>
  <c r="E303" i="1"/>
  <c r="K303" i="1" s="1"/>
  <c r="E542" i="1"/>
  <c r="K565" i="1" s="1"/>
  <c r="C217" i="1"/>
  <c r="C497" i="1"/>
  <c r="K757" i="1"/>
  <c r="E522" i="1" l="1"/>
  <c r="K522" i="1" s="1"/>
  <c r="E590" i="5"/>
  <c r="K613" i="5" s="1"/>
  <c r="C514" i="5"/>
  <c r="C729" i="1"/>
  <c r="E595" i="5"/>
  <c r="K618" i="5" s="1"/>
  <c r="E366" i="5" s="1"/>
  <c r="E653" i="5" s="1"/>
  <c r="K653" i="5" s="1"/>
  <c r="C257" i="1"/>
  <c r="E796" i="1"/>
  <c r="K796" i="1" s="1"/>
  <c r="I806" i="1" s="1"/>
  <c r="C35" i="10"/>
  <c r="C458" i="5"/>
  <c r="C486" i="5"/>
  <c r="C701" i="1"/>
  <c r="C212" i="5"/>
  <c r="F48" i="1"/>
  <c r="F49" i="5"/>
  <c r="F41" i="4"/>
  <c r="E102" i="6"/>
  <c r="E288" i="1"/>
  <c r="E550" i="1" s="1"/>
  <c r="K573" i="1" s="1"/>
  <c r="E348" i="1" s="1"/>
  <c r="E608" i="1" s="1"/>
  <c r="K608" i="1" s="1"/>
  <c r="I242" i="5"/>
  <c r="I168" i="4"/>
  <c r="C12" i="10" s="1"/>
  <c r="C469" i="1"/>
  <c r="I469" i="1"/>
  <c r="C512" i="5"/>
  <c r="C515" i="5" s="1"/>
  <c r="I216" i="1"/>
  <c r="I219" i="1" s="1"/>
  <c r="E853" i="5"/>
  <c r="K853" i="5" s="1"/>
  <c r="E562" i="5"/>
  <c r="K562" i="5" s="1"/>
  <c r="E890" i="5"/>
  <c r="I340" i="5"/>
  <c r="K367" i="5"/>
  <c r="I377" i="5" s="1"/>
  <c r="K234" i="5"/>
  <c r="I244" i="5" s="1"/>
  <c r="E8" i="10" s="1"/>
  <c r="E265" i="5"/>
  <c r="D32" i="10" s="1"/>
  <c r="E823" i="5"/>
  <c r="K823" i="5" s="1"/>
  <c r="I832" i="5" s="1"/>
  <c r="E534" i="5"/>
  <c r="C543" i="5" s="1"/>
  <c r="C377" i="5"/>
  <c r="E654" i="5"/>
  <c r="E301" i="1"/>
  <c r="K301" i="1" s="1"/>
  <c r="E540" i="1"/>
  <c r="K563" i="1" s="1"/>
  <c r="E338" i="1" s="1"/>
  <c r="E598" i="1" s="1"/>
  <c r="K598" i="1" s="1"/>
  <c r="E791" i="1"/>
  <c r="K791" i="1" s="1"/>
  <c r="E831" i="1" s="1"/>
  <c r="K246" i="1"/>
  <c r="E283" i="1" s="1"/>
  <c r="E306" i="1" s="1"/>
  <c r="K306" i="1" s="1"/>
  <c r="E517" i="1"/>
  <c r="K517" i="1" s="1"/>
  <c r="E825" i="1"/>
  <c r="I486" i="5"/>
  <c r="I764" i="1"/>
  <c r="I767" i="5"/>
  <c r="C244" i="5"/>
  <c r="C861" i="5" s="1"/>
  <c r="I729" i="1"/>
  <c r="C730" i="1" s="1"/>
  <c r="I542" i="5"/>
  <c r="E311" i="1"/>
  <c r="K311" i="1" s="1"/>
  <c r="C767" i="5"/>
  <c r="C241" i="5"/>
  <c r="K346" i="1"/>
  <c r="I512" i="5"/>
  <c r="I515" i="5" s="1"/>
  <c r="C219" i="1"/>
  <c r="D13" i="10" s="1"/>
  <c r="C495" i="1"/>
  <c r="K268" i="5"/>
  <c r="E305" i="5" s="1"/>
  <c r="E894" i="5" s="1"/>
  <c r="C496" i="1"/>
  <c r="E787" i="1"/>
  <c r="K787" i="1" s="1"/>
  <c r="E827" i="1" s="1"/>
  <c r="E513" i="1"/>
  <c r="K513" i="1" s="1"/>
  <c r="I526" i="1" s="1"/>
  <c r="E277" i="1"/>
  <c r="I496" i="1"/>
  <c r="E817" i="5"/>
  <c r="K817" i="5" s="1"/>
  <c r="E259" i="5"/>
  <c r="K259" i="5" s="1"/>
  <c r="E296" i="5" s="1"/>
  <c r="E528" i="5"/>
  <c r="C256" i="1"/>
  <c r="I495" i="1"/>
  <c r="K347" i="1"/>
  <c r="I212" i="5"/>
  <c r="C764" i="1"/>
  <c r="C255" i="1"/>
  <c r="K242" i="1"/>
  <c r="E279" i="1" s="1"/>
  <c r="E814" i="5"/>
  <c r="K814" i="5" s="1"/>
  <c r="E525" i="5"/>
  <c r="E256" i="5"/>
  <c r="E284" i="1"/>
  <c r="E830" i="1"/>
  <c r="E847" i="5"/>
  <c r="K847" i="5" s="1"/>
  <c r="E556" i="5"/>
  <c r="K556" i="5" s="1"/>
  <c r="I765" i="1"/>
  <c r="K786" i="1"/>
  <c r="K258" i="5"/>
  <c r="E295" i="5" s="1"/>
  <c r="E551" i="1"/>
  <c r="K574" i="1" s="1"/>
  <c r="E312" i="1"/>
  <c r="K312" i="1" s="1"/>
  <c r="K298" i="1"/>
  <c r="E363" i="5"/>
  <c r="E650" i="5" s="1"/>
  <c r="K650" i="5" s="1"/>
  <c r="E518" i="1"/>
  <c r="E792" i="1"/>
  <c r="C36" i="10"/>
  <c r="E320" i="5"/>
  <c r="K320" i="5" s="1"/>
  <c r="E586" i="5"/>
  <c r="K609" i="5" s="1"/>
  <c r="E886" i="5"/>
  <c r="E364" i="5"/>
  <c r="E651" i="5" s="1"/>
  <c r="K651" i="5" s="1"/>
  <c r="K336" i="1"/>
  <c r="I528" i="1"/>
  <c r="E837" i="1"/>
  <c r="E292" i="5"/>
  <c r="I241" i="5"/>
  <c r="K524" i="5"/>
  <c r="I541" i="5" s="1"/>
  <c r="E844" i="5"/>
  <c r="K844" i="5" s="1"/>
  <c r="E553" i="5"/>
  <c r="K553" i="5" s="1"/>
  <c r="C804" i="5"/>
  <c r="K366" i="5"/>
  <c r="C279" i="4"/>
  <c r="C283" i="4" s="1"/>
  <c r="K257" i="4"/>
  <c r="I279" i="4" s="1"/>
  <c r="I283" i="4" s="1"/>
  <c r="C20" i="10" s="1"/>
  <c r="K341" i="1"/>
  <c r="C765" i="1"/>
  <c r="K262" i="5"/>
  <c r="E532" i="5"/>
  <c r="E263" i="5"/>
  <c r="C273" i="5" s="1"/>
  <c r="E821" i="5"/>
  <c r="K821" i="5" s="1"/>
  <c r="I831" i="5" s="1"/>
  <c r="C10" i="10"/>
  <c r="C14" i="10" s="1"/>
  <c r="E285" i="1"/>
  <c r="I257" i="1"/>
  <c r="E354" i="5"/>
  <c r="E641" i="5" s="1"/>
  <c r="K641" i="5" s="1"/>
  <c r="E361" i="5"/>
  <c r="E648" i="5" s="1"/>
  <c r="K648" i="5" s="1"/>
  <c r="E340" i="1"/>
  <c r="K340" i="1" s="1"/>
  <c r="K560" i="1"/>
  <c r="E560" i="5"/>
  <c r="K560" i="5" s="1"/>
  <c r="E851" i="5"/>
  <c r="K851" i="5" s="1"/>
  <c r="I766" i="1"/>
  <c r="I804" i="5"/>
  <c r="D34" i="10"/>
  <c r="K816" i="5"/>
  <c r="E566" i="5"/>
  <c r="K566" i="5" s="1"/>
  <c r="E857" i="5"/>
  <c r="E342" i="1"/>
  <c r="E602" i="1" s="1"/>
  <c r="K602" i="1" s="1"/>
  <c r="C528" i="1"/>
  <c r="C804" i="1" l="1"/>
  <c r="C527" i="1"/>
  <c r="C806" i="1"/>
  <c r="E836" i="1"/>
  <c r="E213" i="5"/>
  <c r="E9" i="10" s="1"/>
  <c r="C487" i="5"/>
  <c r="I256" i="1"/>
  <c r="C470" i="1"/>
  <c r="E545" i="1"/>
  <c r="K568" i="1" s="1"/>
  <c r="E343" i="1" s="1"/>
  <c r="E603" i="1" s="1"/>
  <c r="K603" i="1" s="1"/>
  <c r="C805" i="1"/>
  <c r="E103" i="6"/>
  <c r="F51" i="5"/>
  <c r="F43" i="4"/>
  <c r="F50" i="1"/>
  <c r="C272" i="5"/>
  <c r="C275" i="5" s="1"/>
  <c r="C832" i="5"/>
  <c r="C169" i="4"/>
  <c r="K364" i="5"/>
  <c r="C274" i="5"/>
  <c r="K534" i="5"/>
  <c r="I543" i="5" s="1"/>
  <c r="I544" i="5" s="1"/>
  <c r="I243" i="5"/>
  <c r="C664" i="5"/>
  <c r="K654" i="5"/>
  <c r="I664" i="5" s="1"/>
  <c r="K265" i="5"/>
  <c r="E302" i="5" s="1"/>
  <c r="E563" i="5"/>
  <c r="K563" i="5" s="1"/>
  <c r="I572" i="5" s="1"/>
  <c r="E854" i="5"/>
  <c r="K854" i="5" s="1"/>
  <c r="K792" i="1"/>
  <c r="E832" i="1" s="1"/>
  <c r="I858" i="1" s="1"/>
  <c r="C767" i="1"/>
  <c r="C498" i="1"/>
  <c r="I767" i="1"/>
  <c r="C541" i="5"/>
  <c r="I498" i="1"/>
  <c r="C516" i="5"/>
  <c r="C517" i="5" s="1"/>
  <c r="C805" i="5"/>
  <c r="I830" i="5"/>
  <c r="I833" i="5" s="1"/>
  <c r="E594" i="5"/>
  <c r="K617" i="5" s="1"/>
  <c r="C850" i="1"/>
  <c r="D35" i="10"/>
  <c r="C830" i="5"/>
  <c r="C220" i="1"/>
  <c r="C856" i="1"/>
  <c r="D25" i="10" s="1"/>
  <c r="E319" i="5"/>
  <c r="K319" i="5" s="1"/>
  <c r="E885" i="5"/>
  <c r="E585" i="5"/>
  <c r="K608" i="5" s="1"/>
  <c r="C859" i="1"/>
  <c r="E554" i="5"/>
  <c r="K554" i="5" s="1"/>
  <c r="E845" i="5"/>
  <c r="K845" i="5" s="1"/>
  <c r="D33" i="10"/>
  <c r="C258" i="1"/>
  <c r="D7" i="10" s="1"/>
  <c r="D15" i="10" s="1"/>
  <c r="K518" i="1"/>
  <c r="I527" i="1" s="1"/>
  <c r="I529" i="1" s="1"/>
  <c r="K342" i="1"/>
  <c r="K256" i="5"/>
  <c r="I255" i="1"/>
  <c r="D6" i="10"/>
  <c r="K338" i="1"/>
  <c r="K363" i="5"/>
  <c r="C526" i="1"/>
  <c r="C529" i="1" s="1"/>
  <c r="E300" i="1"/>
  <c r="E539" i="1"/>
  <c r="K562" i="1" s="1"/>
  <c r="I859" i="1"/>
  <c r="E328" i="5"/>
  <c r="K328" i="5" s="1"/>
  <c r="I805" i="1"/>
  <c r="E302" i="1"/>
  <c r="K302" i="1" s="1"/>
  <c r="E541" i="1"/>
  <c r="K564" i="1" s="1"/>
  <c r="C807" i="1"/>
  <c r="K348" i="1"/>
  <c r="E848" i="5"/>
  <c r="K848" i="5" s="1"/>
  <c r="D36" i="10"/>
  <c r="E557" i="5"/>
  <c r="K557" i="5" s="1"/>
  <c r="C858" i="1"/>
  <c r="C849" i="1"/>
  <c r="C831" i="5"/>
  <c r="E335" i="1"/>
  <c r="K335" i="1" s="1"/>
  <c r="E547" i="1"/>
  <c r="K570" i="1" s="1"/>
  <c r="E308" i="1"/>
  <c r="C322" i="1" s="1"/>
  <c r="E299" i="5"/>
  <c r="K857" i="5"/>
  <c r="E349" i="1"/>
  <c r="E609" i="1" s="1"/>
  <c r="K609" i="1" s="1"/>
  <c r="E315" i="5"/>
  <c r="K315" i="5" s="1"/>
  <c r="E881" i="5"/>
  <c r="E581" i="5"/>
  <c r="C245" i="5"/>
  <c r="I850" i="1"/>
  <c r="E600" i="1"/>
  <c r="E318" i="5"/>
  <c r="K318" i="5" s="1"/>
  <c r="E884" i="5"/>
  <c r="E584" i="5"/>
  <c r="K607" i="5" s="1"/>
  <c r="E561" i="5"/>
  <c r="C571" i="5" s="1"/>
  <c r="E852" i="5"/>
  <c r="K852" i="5" s="1"/>
  <c r="I863" i="5" s="1"/>
  <c r="I804" i="1"/>
  <c r="E826" i="1"/>
  <c r="E307" i="1"/>
  <c r="C321" i="1" s="1"/>
  <c r="E546" i="1"/>
  <c r="C542" i="5"/>
  <c r="K361" i="5"/>
  <c r="E357" i="5"/>
  <c r="K357" i="5" s="1"/>
  <c r="K354" i="5"/>
  <c r="C214" i="5"/>
  <c r="C284" i="4"/>
  <c r="C19" i="10"/>
  <c r="C21" i="10" s="1"/>
  <c r="K263" i="5"/>
  <c r="E300" i="5" s="1"/>
  <c r="C847" i="1"/>
  <c r="I849" i="1" l="1"/>
  <c r="I258" i="1"/>
  <c r="C259" i="1" s="1"/>
  <c r="C572" i="5"/>
  <c r="C499" i="1"/>
  <c r="I582" i="1"/>
  <c r="E104" i="6"/>
  <c r="F51" i="1"/>
  <c r="F44" i="4"/>
  <c r="F52" i="5"/>
  <c r="I864" i="5"/>
  <c r="C544" i="5"/>
  <c r="C545" i="5" s="1"/>
  <c r="C864" i="5"/>
  <c r="C833" i="5"/>
  <c r="E325" i="5"/>
  <c r="K325" i="5" s="1"/>
  <c r="I339" i="5" s="1"/>
  <c r="E891" i="5"/>
  <c r="E591" i="5"/>
  <c r="K614" i="5" s="1"/>
  <c r="E362" i="5" s="1"/>
  <c r="I274" i="5"/>
  <c r="C768" i="1"/>
  <c r="E365" i="5"/>
  <c r="E652" i="5" s="1"/>
  <c r="K652" i="5" s="1"/>
  <c r="K561" i="5"/>
  <c r="I571" i="5" s="1"/>
  <c r="I570" i="5"/>
  <c r="I862" i="5"/>
  <c r="C320" i="1"/>
  <c r="C324" i="1" s="1"/>
  <c r="C530" i="1"/>
  <c r="I807" i="1"/>
  <c r="C808" i="1" s="1"/>
  <c r="E339" i="1"/>
  <c r="E599" i="1" s="1"/>
  <c r="K599" i="1" s="1"/>
  <c r="E337" i="1"/>
  <c r="E597" i="1" s="1"/>
  <c r="K597" i="1" s="1"/>
  <c r="K300" i="1"/>
  <c r="E293" i="5"/>
  <c r="C914" i="5" s="1"/>
  <c r="E25" i="10" s="1"/>
  <c r="I272" i="5"/>
  <c r="E356" i="5"/>
  <c r="E643" i="5" s="1"/>
  <c r="K643" i="5" s="1"/>
  <c r="K307" i="1"/>
  <c r="I321" i="1" s="1"/>
  <c r="C862" i="5"/>
  <c r="C570" i="5"/>
  <c r="C573" i="5" s="1"/>
  <c r="E595" i="1"/>
  <c r="K349" i="1"/>
  <c r="E589" i="5"/>
  <c r="K612" i="5" s="1"/>
  <c r="E323" i="5"/>
  <c r="K323" i="5" s="1"/>
  <c r="E889" i="5"/>
  <c r="E355" i="5"/>
  <c r="E642" i="5" s="1"/>
  <c r="K642" i="5" s="1"/>
  <c r="E7" i="10"/>
  <c r="K600" i="1"/>
  <c r="I273" i="5"/>
  <c r="K569" i="1"/>
  <c r="D18" i="10"/>
  <c r="E322" i="5"/>
  <c r="K322" i="5" s="1"/>
  <c r="E588" i="5"/>
  <c r="K611" i="5" s="1"/>
  <c r="E888" i="5"/>
  <c r="E644" i="5"/>
  <c r="C863" i="5"/>
  <c r="K604" i="5"/>
  <c r="K308" i="1"/>
  <c r="E843" i="1"/>
  <c r="D24" i="10" s="1"/>
  <c r="C848" i="1"/>
  <c r="C852" i="1" s="1"/>
  <c r="C857" i="1"/>
  <c r="C861" i="1" s="1"/>
  <c r="I857" i="1"/>
  <c r="I861" i="1" s="1"/>
  <c r="I848" i="1"/>
  <c r="I852" i="1" s="1"/>
  <c r="E345" i="1"/>
  <c r="I584" i="1"/>
  <c r="K343" i="1"/>
  <c r="I865" i="5" l="1"/>
  <c r="F52" i="1"/>
  <c r="F45" i="4"/>
  <c r="E105" i="6"/>
  <c r="F53" i="5"/>
  <c r="K362" i="5"/>
  <c r="I573" i="5"/>
  <c r="C574" i="5" s="1"/>
  <c r="C376" i="5"/>
  <c r="I908" i="5"/>
  <c r="C908" i="5"/>
  <c r="C917" i="5"/>
  <c r="I917" i="5"/>
  <c r="E649" i="5"/>
  <c r="K649" i="5" s="1"/>
  <c r="I663" i="5" s="1"/>
  <c r="C339" i="5"/>
  <c r="I628" i="5"/>
  <c r="K365" i="5"/>
  <c r="E6" i="10"/>
  <c r="I275" i="5"/>
  <c r="C276" i="5" s="1"/>
  <c r="C338" i="5"/>
  <c r="C865" i="5"/>
  <c r="C357" i="1"/>
  <c r="K356" i="5"/>
  <c r="E316" i="5"/>
  <c r="C337" i="5" s="1"/>
  <c r="E882" i="5"/>
  <c r="E582" i="5"/>
  <c r="K339" i="1"/>
  <c r="C905" i="5"/>
  <c r="K337" i="1"/>
  <c r="I320" i="1"/>
  <c r="E352" i="5"/>
  <c r="D11" i="10"/>
  <c r="E605" i="1"/>
  <c r="C359" i="1"/>
  <c r="I322" i="1"/>
  <c r="K345" i="1"/>
  <c r="I359" i="1" s="1"/>
  <c r="I916" i="5"/>
  <c r="C907" i="5"/>
  <c r="C916" i="5"/>
  <c r="I907" i="5"/>
  <c r="E359" i="5"/>
  <c r="K359" i="5" s="1"/>
  <c r="I627" i="5"/>
  <c r="E344" i="1"/>
  <c r="I583" i="1"/>
  <c r="I586" i="1" s="1"/>
  <c r="C587" i="1" s="1"/>
  <c r="E360" i="5"/>
  <c r="E647" i="5" s="1"/>
  <c r="K647" i="5" s="1"/>
  <c r="C617" i="1"/>
  <c r="K595" i="1"/>
  <c r="I617" i="1" s="1"/>
  <c r="I338" i="5"/>
  <c r="D26" i="10"/>
  <c r="C26" i="10"/>
  <c r="K644" i="5"/>
  <c r="K355" i="5"/>
  <c r="E15" i="10"/>
  <c r="I376" i="5" l="1"/>
  <c r="F53" i="1"/>
  <c r="F54" i="5"/>
  <c r="F46" i="4"/>
  <c r="E107" i="6"/>
  <c r="C341" i="5"/>
  <c r="E11" i="10" s="1"/>
  <c r="C663" i="5"/>
  <c r="K360" i="5"/>
  <c r="I375" i="5" s="1"/>
  <c r="I324" i="1"/>
  <c r="C325" i="1" s="1"/>
  <c r="K605" i="5"/>
  <c r="E18" i="10"/>
  <c r="K316" i="5"/>
  <c r="I906" i="5"/>
  <c r="I910" i="5" s="1"/>
  <c r="C915" i="5"/>
  <c r="C919" i="5" s="1"/>
  <c r="C906" i="5"/>
  <c r="C910" i="5" s="1"/>
  <c r="E901" i="5"/>
  <c r="E24" i="10" s="1"/>
  <c r="I915" i="5"/>
  <c r="I919" i="5" s="1"/>
  <c r="I357" i="1"/>
  <c r="C28" i="10"/>
  <c r="C27" i="10"/>
  <c r="E604" i="1"/>
  <c r="C358" i="1"/>
  <c r="C361" i="1" s="1"/>
  <c r="K344" i="1"/>
  <c r="I358" i="1" s="1"/>
  <c r="C619" i="1"/>
  <c r="K605" i="1"/>
  <c r="I619" i="1" s="1"/>
  <c r="D28" i="10"/>
  <c r="D27" i="10"/>
  <c r="E646" i="5"/>
  <c r="C375" i="5"/>
  <c r="E639" i="5"/>
  <c r="K352" i="5"/>
  <c r="F56" i="5" l="1"/>
  <c r="F55" i="1"/>
  <c r="E108" i="6"/>
  <c r="F48" i="4"/>
  <c r="I361" i="1"/>
  <c r="D12" i="10" s="1"/>
  <c r="E26" i="10"/>
  <c r="E28" i="10" s="1"/>
  <c r="I337" i="5"/>
  <c r="I341" i="5" s="1"/>
  <c r="C342" i="5" s="1"/>
  <c r="E353" i="5"/>
  <c r="I626" i="5"/>
  <c r="I630" i="5" s="1"/>
  <c r="C631" i="5" s="1"/>
  <c r="K646" i="5"/>
  <c r="I662" i="5" s="1"/>
  <c r="C662" i="5"/>
  <c r="K639" i="5"/>
  <c r="C618" i="1"/>
  <c r="C621" i="1" s="1"/>
  <c r="K604" i="1"/>
  <c r="I618" i="1" s="1"/>
  <c r="I621" i="1" s="1"/>
  <c r="D20" i="10" s="1"/>
  <c r="D10" i="10"/>
  <c r="D14" i="10" s="1"/>
  <c r="F57" i="5" l="1"/>
  <c r="E109" i="6"/>
  <c r="F56" i="1"/>
  <c r="F49" i="4"/>
  <c r="C362" i="1"/>
  <c r="E640" i="5"/>
  <c r="C374" i="5"/>
  <c r="C378" i="5" s="1"/>
  <c r="E27" i="10"/>
  <c r="K353" i="5"/>
  <c r="I374" i="5" s="1"/>
  <c r="I378" i="5" s="1"/>
  <c r="E12" i="10" s="1"/>
  <c r="D19" i="10"/>
  <c r="D21" i="10" s="1"/>
  <c r="C622" i="1"/>
  <c r="E110" i="6" l="1"/>
  <c r="F50" i="4"/>
  <c r="F58" i="5"/>
  <c r="F57" i="1"/>
  <c r="C661" i="5"/>
  <c r="C665" i="5" s="1"/>
  <c r="K640" i="5"/>
  <c r="I661" i="5" s="1"/>
  <c r="I665" i="5" s="1"/>
  <c r="E20" i="10" s="1"/>
  <c r="E10" i="10"/>
  <c r="E14" i="10" s="1"/>
  <c r="C379" i="5"/>
  <c r="F58" i="1" l="1"/>
  <c r="F59" i="5"/>
  <c r="F51" i="4"/>
  <c r="E112" i="6"/>
  <c r="C666" i="5"/>
  <c r="E19" i="10"/>
  <c r="E21" i="10" s="1"/>
  <c r="F60" i="1" l="1"/>
  <c r="F53" i="4"/>
  <c r="F61" i="5"/>
  <c r="E113" i="6"/>
  <c r="F54" i="4" l="1"/>
  <c r="F61" i="1"/>
  <c r="E114" i="6"/>
  <c r="F62" i="5"/>
  <c r="E115" i="6" l="1"/>
  <c r="F62" i="1"/>
  <c r="F63" i="5"/>
  <c r="F55" i="4"/>
  <c r="F56" i="4" l="1"/>
  <c r="F64" i="5"/>
  <c r="F63" i="1"/>
</calcChain>
</file>

<file path=xl/sharedStrings.xml><?xml version="1.0" encoding="utf-8"?>
<sst xmlns="http://schemas.openxmlformats.org/spreadsheetml/2006/main" count="6499" uniqueCount="3114">
  <si>
    <t>Mechanical recycling</t>
  </si>
  <si>
    <t>Waste generation</t>
  </si>
  <si>
    <t>Parameters</t>
  </si>
  <si>
    <t>Value</t>
  </si>
  <si>
    <t>Unit</t>
  </si>
  <si>
    <t>Min</t>
  </si>
  <si>
    <t>Max</t>
  </si>
  <si>
    <t>Description</t>
  </si>
  <si>
    <t xml:space="preserve">Total waste generation </t>
  </si>
  <si>
    <t>%ww</t>
  </si>
  <si>
    <t>kg ww</t>
  </si>
  <si>
    <t>Share of plastic in the generated waste</t>
  </si>
  <si>
    <t>unit</t>
  </si>
  <si>
    <t>Total_WG</t>
  </si>
  <si>
    <t>Bottle</t>
  </si>
  <si>
    <t>Rigid</t>
  </si>
  <si>
    <t>PET</t>
  </si>
  <si>
    <t>PP</t>
  </si>
  <si>
    <t>PS</t>
  </si>
  <si>
    <t>Other</t>
  </si>
  <si>
    <t>Sub-fraction</t>
  </si>
  <si>
    <t>Fraction</t>
  </si>
  <si>
    <t>PE</t>
  </si>
  <si>
    <t xml:space="preserve">The bottle share of the plastic fraction </t>
  </si>
  <si>
    <t>The rigid share of the plastic fraction</t>
  </si>
  <si>
    <t>The soft share of the plastic fraction</t>
  </si>
  <si>
    <t>The PET share of the bottle fraction</t>
  </si>
  <si>
    <t>The PE share of the bottle fraction</t>
  </si>
  <si>
    <t>The PP share of the bottle fraction</t>
  </si>
  <si>
    <t>The PS share of the bottle fraction</t>
  </si>
  <si>
    <t>The PET share of the rigid fraction</t>
  </si>
  <si>
    <t>The PE share of the rigid fraction</t>
  </si>
  <si>
    <t>The PP share of the rigid fraction</t>
  </si>
  <si>
    <t>The PS share of the rigid fraction</t>
  </si>
  <si>
    <t>The PET share of the soft fraction</t>
  </si>
  <si>
    <t>The PE share of the soft fraction</t>
  </si>
  <si>
    <t>The PP share of the soft fraction</t>
  </si>
  <si>
    <t>The PS share of the soft fraction</t>
  </si>
  <si>
    <t>The PET share of the other fraction</t>
  </si>
  <si>
    <t>The PE share of the other fraction</t>
  </si>
  <si>
    <t>The PP share of the other fraction</t>
  </si>
  <si>
    <t>The PS share of the other fraction</t>
  </si>
  <si>
    <t>Soft</t>
  </si>
  <si>
    <t>Equation</t>
  </si>
  <si>
    <t>Output from waste generation (WG)</t>
  </si>
  <si>
    <t>Total output from waste generation (WG)</t>
  </si>
  <si>
    <t>Patameter</t>
  </si>
  <si>
    <t>To source-separation (SS)</t>
  </si>
  <si>
    <t>To inceneration (INC)</t>
  </si>
  <si>
    <t>Parameter</t>
  </si>
  <si>
    <t>Sum of all subfracions going to incineration (INC)</t>
  </si>
  <si>
    <t>Source-separation (SS)</t>
  </si>
  <si>
    <t>Sum of all subfractions going to source-separation (SS)</t>
  </si>
  <si>
    <t>Output from source-separation (SS)</t>
  </si>
  <si>
    <t>To collection (COL)</t>
  </si>
  <si>
    <t>Total output from source-separation (SS)</t>
  </si>
  <si>
    <t>Collection (COL)</t>
  </si>
  <si>
    <t>Output from collection (COL)</t>
  </si>
  <si>
    <t>To sorting (SOR)</t>
  </si>
  <si>
    <t>To incineration (INC)</t>
  </si>
  <si>
    <t>Total output from collection (COL)</t>
  </si>
  <si>
    <t>Transfer coefficient of source-separated bottle PET that is collected</t>
  </si>
  <si>
    <t>Transfer coefficient of source-separated bottle PE that is collected</t>
  </si>
  <si>
    <t>Transfer coefficient of source-separated bottle PP that is collected</t>
  </si>
  <si>
    <t>Transfer coefficient of source-separated rigid PET that is collected</t>
  </si>
  <si>
    <t>Transfer coefficient of source-separated rigid PE that is collected</t>
  </si>
  <si>
    <t>Transfer coefficient of source-separated rigid PP that is collected</t>
  </si>
  <si>
    <t>Transfer coefficient of source-separated soft PET that is collected</t>
  </si>
  <si>
    <t>Transfer coefficient of source-separated soft PE that is collected</t>
  </si>
  <si>
    <t>Transfer coefficient of source-separated soft PP that is collected</t>
  </si>
  <si>
    <t>Sorting (SOR)</t>
  </si>
  <si>
    <t>Transfer coefficient of collected bottle PET that is sorted</t>
  </si>
  <si>
    <t>Transfer coefficient of collected bottle PE that is sorted</t>
  </si>
  <si>
    <t>Transfer coefficient of collected bottle PP that is sorted</t>
  </si>
  <si>
    <t>Transfer coefficient of collected rigid PET that is sorted</t>
  </si>
  <si>
    <t>Transfer coefficient of collected rigid PE that is sorted</t>
  </si>
  <si>
    <t>Transfer coefficient of collected rigid PP that is sorted</t>
  </si>
  <si>
    <t>Transfer coefficient of collected soft PET that is sorted</t>
  </si>
  <si>
    <t>Transfer coefficient of collected soft PE that is sorted</t>
  </si>
  <si>
    <t>Transfer coefficient of collected soft PP that is sorted</t>
  </si>
  <si>
    <t>Output from sorting (SOR)</t>
  </si>
  <si>
    <t>Total output from sorting (SOR)</t>
  </si>
  <si>
    <t>Reprocessing (RE)</t>
  </si>
  <si>
    <t>Transfer coefficient of sorted rigid PET that is reprocessed</t>
  </si>
  <si>
    <t>Transfer coefficient of sorted rigid PE that is reprocessed</t>
  </si>
  <si>
    <t>Transfer coefficient of sorted rigid PP that is reprocessed</t>
  </si>
  <si>
    <t>Transfer coefficient of sorted soft PET that is reprocessed</t>
  </si>
  <si>
    <t>Transfer coefficient of sorted soft PE that is reprocessed</t>
  </si>
  <si>
    <t>Transfer coefficient of sorted soft PP that is reprocessed</t>
  </si>
  <si>
    <t>Transfer coefficient of sorted bottle PET that is reprocessed</t>
  </si>
  <si>
    <t>Transfer coefficient of sorted bottle PE that is reprocessed</t>
  </si>
  <si>
    <t>Transfer coefficient of sorted bottle PP that is reprocessed</t>
  </si>
  <si>
    <t>Output from reprocessing (RE)</t>
  </si>
  <si>
    <t>To Reprocessing (RE)</t>
  </si>
  <si>
    <t>Total output from reprocessing (RE)</t>
  </si>
  <si>
    <t>To new products (new)</t>
  </si>
  <si>
    <t>kg C</t>
  </si>
  <si>
    <t>Carbon balance</t>
  </si>
  <si>
    <t>Mass balance</t>
  </si>
  <si>
    <t>Name</t>
  </si>
  <si>
    <t>Fraction name</t>
  </si>
  <si>
    <t>Total Wet Weight (kg)</t>
  </si>
  <si>
    <t>TS (kg)</t>
  </si>
  <si>
    <t>Water (kg)</t>
  </si>
  <si>
    <t>VS (kg)</t>
  </si>
  <si>
    <t>Ash (kg)</t>
  </si>
  <si>
    <t>C bio (kg)</t>
  </si>
  <si>
    <t>C fossil (kg)</t>
  </si>
  <si>
    <t>Plastic bottles</t>
  </si>
  <si>
    <t>Soft plastic</t>
  </si>
  <si>
    <t>Non-recyclable plastic</t>
  </si>
  <si>
    <t>Hard plastic</t>
  </si>
  <si>
    <t>Reference</t>
  </si>
  <si>
    <t>References</t>
  </si>
  <si>
    <t>%</t>
  </si>
  <si>
    <t>EASETECH</t>
  </si>
  <si>
    <t>Total amount of carbon contained in the total waste generated</t>
  </si>
  <si>
    <t>Incineration (INC)</t>
  </si>
  <si>
    <t>To ash</t>
  </si>
  <si>
    <t>To export</t>
  </si>
  <si>
    <t>Energy balance</t>
  </si>
  <si>
    <t>MJ</t>
  </si>
  <si>
    <t>Amount of energy contained in 1 kg of plastic bottle waste</t>
  </si>
  <si>
    <t>Amount of energy contained in 1 kg of rigid plastic waste</t>
  </si>
  <si>
    <t>Amount of energy contained in 1 kg of soft plastic waste</t>
  </si>
  <si>
    <t>Amount of energy contained in 1 kg of non recyclable plastic waste</t>
  </si>
  <si>
    <t xml:space="preserve">kg </t>
  </si>
  <si>
    <t>Output from incineration (INC)</t>
  </si>
  <si>
    <t>To air</t>
  </si>
  <si>
    <t>The residue content of 1 kg of plastic bottles</t>
  </si>
  <si>
    <t>Bisinella, V., Hulgaard, T., Riber, C., Damgaard, A., and Christensen, T. H. (2021). Environmental assessment of carbon capture and storage (CCS) as a post-treatment technology in waste incineration. Waste Management, 128:99–113.</t>
  </si>
  <si>
    <t>Eriksen, M. K., Pivnenko, K., Faraca, G., Boldrin, A., and Astrup, T. F. (2020). Dynamic Material Flow Analysis of PET, PE, and PP Flows in Europe: Evaluation of the Potential for Circular Economy. Environmental Science and Technology, 54(24):16166–16175.</t>
  </si>
  <si>
    <t>Eriksen, M. K., Damgaard, A., Boldrin, A., and Astrup, T. F. (2019). Quality Assessment and Circularity Potential of Recovery Systems for Household Plastic Waste. Journal of Industrial Ecology, 23(1):156–168.</t>
  </si>
  <si>
    <t>Composition</t>
  </si>
  <si>
    <t>The other share of the plastic fraction</t>
  </si>
  <si>
    <t>Total input to incineration (INC)</t>
  </si>
  <si>
    <t>The residue content of 1 kg of rigid plastic</t>
  </si>
  <si>
    <t>The residue content of 1 kg of soft plastic</t>
  </si>
  <si>
    <t>The residue content of 1 kg of nonrec plastic</t>
  </si>
  <si>
    <t>The water and volatile solid content of 1 kg of bottle plastic</t>
  </si>
  <si>
    <t>The water and volatile solid content of 1 kg of rigid plastic</t>
  </si>
  <si>
    <t>The water and volatile solid content of 1 kg of soft plastic</t>
  </si>
  <si>
    <t>The water and volatile solid content of 1 kg of nonrec plastic</t>
  </si>
  <si>
    <t>Carbon capture and storage (CSS)</t>
  </si>
  <si>
    <t>Value (average)</t>
  </si>
  <si>
    <t>Legend</t>
  </si>
  <si>
    <t>Output from CSS</t>
  </si>
  <si>
    <t>Compressed</t>
  </si>
  <si>
    <t>Loss</t>
  </si>
  <si>
    <t>Total_WG_SS_mass</t>
  </si>
  <si>
    <t>Total_WG_INC_bottle_mass</t>
  </si>
  <si>
    <t>Total_WG_INC_rigid_mass</t>
  </si>
  <si>
    <t>Total_WG_INC_soft_mass</t>
  </si>
  <si>
    <t>Total_WG_INC_other_mass</t>
  </si>
  <si>
    <t>To export (EXP)</t>
  </si>
  <si>
    <t>To new products (NEW)</t>
  </si>
  <si>
    <t>ash_bottle_mass</t>
  </si>
  <si>
    <t>ash_rigid_mass</t>
  </si>
  <si>
    <t>ash_soft_mass</t>
  </si>
  <si>
    <t>ash_nonrec_mass</t>
  </si>
  <si>
    <t>air_bottle_mass</t>
  </si>
  <si>
    <t>air_rigid_mass</t>
  </si>
  <si>
    <t>air_soft_mass</t>
  </si>
  <si>
    <t>air_nonrec_mass</t>
  </si>
  <si>
    <t>To ash (ASH)</t>
  </si>
  <si>
    <t>To air (AIR)</t>
  </si>
  <si>
    <t>Total output from incineration (INC)</t>
  </si>
  <si>
    <t>Total output from ccs (CCS)</t>
  </si>
  <si>
    <t>(assumed incinerated)</t>
  </si>
  <si>
    <t>(assumed source separated)</t>
  </si>
  <si>
    <t>bottle_carbon</t>
  </si>
  <si>
    <t>rigid_carbon</t>
  </si>
  <si>
    <t>soft_carbon</t>
  </si>
  <si>
    <t>nonrec_carbon</t>
  </si>
  <si>
    <t>tot_carbon</t>
  </si>
  <si>
    <t>Total_bottle_INC_ASH_carbon</t>
  </si>
  <si>
    <t>Total_rigid_INC_ASH_carbon</t>
  </si>
  <si>
    <t>Total_soft_INC_ASH_carbon</t>
  </si>
  <si>
    <t>Total_other_INC_ASH_carbon</t>
  </si>
  <si>
    <t>Total_INC_ASH_carbon</t>
  </si>
  <si>
    <t>bottle_energy</t>
  </si>
  <si>
    <t>rigid_energy</t>
  </si>
  <si>
    <t>soft_energy</t>
  </si>
  <si>
    <t>nonrec_energy</t>
  </si>
  <si>
    <t>Chemical recycling</t>
  </si>
  <si>
    <t>% of LHV</t>
  </si>
  <si>
    <t>TC_electricity_recovery_energy</t>
  </si>
  <si>
    <t>Amount of energy recovered as heat during the incineration of bottles</t>
  </si>
  <si>
    <t>Amount of energy recovered as heat during the incineration of rigid plastic</t>
  </si>
  <si>
    <t>Amount of energy recovered as heat during the incineration of soft plastic</t>
  </si>
  <si>
    <t>Amount of energy recovered as heat during the incineration of other plastic</t>
  </si>
  <si>
    <t>Amount of energy recovered as heat during the incineration of the total plastic fraction</t>
  </si>
  <si>
    <t>Amount of energy recovered as electricity during the incineration of bottles</t>
  </si>
  <si>
    <t>Amount of energy recovered as electricity during the incineration of rigid plastic</t>
  </si>
  <si>
    <t>Amount of energy recovered as electricity during the incineration of soft plastic</t>
  </si>
  <si>
    <t>Amount of energy recovered as electricity during the incineration of other plastic</t>
  </si>
  <si>
    <t>Amount of energy recovered as electricity during the incineration of the total plastic fraction</t>
  </si>
  <si>
    <t>Heat recovery</t>
  </si>
  <si>
    <t>Amount of energy recovered during flue gas condensation as a percentage of the lower heating value of the waste incincerated</t>
  </si>
  <si>
    <t>Amount of energy in the electricity recovered from the incineration</t>
  </si>
  <si>
    <t>Amount of energy in the heat recovered from the incineration</t>
  </si>
  <si>
    <t>Electricity recovery</t>
  </si>
  <si>
    <t xml:space="preserve">Total </t>
  </si>
  <si>
    <t>The Other share of the bottle fraction</t>
  </si>
  <si>
    <t>The Other share of the rigid fraction</t>
  </si>
  <si>
    <t>The Other share of the soft fraction</t>
  </si>
  <si>
    <t>The Other share of the other fraction</t>
  </si>
  <si>
    <t>TC_heat_recovery_turbine_energy</t>
  </si>
  <si>
    <t>TC_heat_recovery_condensation_energy</t>
  </si>
  <si>
    <t>To liquid</t>
  </si>
  <si>
    <t>To solid</t>
  </si>
  <si>
    <t>Purified oil</t>
  </si>
  <si>
    <t>Heavy vacuum residues (HVR)</t>
  </si>
  <si>
    <t>Output from cracking and polymerization</t>
  </si>
  <si>
    <t>New plastic (NEW)</t>
  </si>
  <si>
    <t>Cracking and polymerization (POLY)</t>
  </si>
  <si>
    <t>Jeswani, H., Krüger, C., Russ, M., Horlacher, M.,Antony, F., Hann, S., and Azapagic, A. (2021). Life cycle environmental impacts of chemical recycling via pyrolysis of mixed plastic waste in comparison with mechanical recycling and energy recovery. Science of the Total Environment, 769.</t>
  </si>
  <si>
    <t>kg waw</t>
  </si>
  <si>
    <t>Flue gas (AIR)</t>
  </si>
  <si>
    <t>Mass losses due to the process inefficiencie</t>
  </si>
  <si>
    <t>Ash</t>
  </si>
  <si>
    <t>bottle_PET_WG_SS_mass_mechanical</t>
  </si>
  <si>
    <t>bottle_PE_WG_SS_mass_mechanical</t>
  </si>
  <si>
    <t>bottle_PP_WG_SS_mass_mechanical</t>
  </si>
  <si>
    <t>bottle_PS_WG_SS_mass_mechanical</t>
  </si>
  <si>
    <t>bottle_Oth_WG_SS_mass_mechanical</t>
  </si>
  <si>
    <t>rigid_PET_WG_SS_mass_mechanical</t>
  </si>
  <si>
    <t>rigid_PE_WG_SS_mass_mechanical</t>
  </si>
  <si>
    <t>rigid_PP_WG_SS_mass_mechanical</t>
  </si>
  <si>
    <t>rigid_PS_WG_SS_mass_mechanical</t>
  </si>
  <si>
    <t>rigid_Oth_WG_SS_mass_mechanical</t>
  </si>
  <si>
    <t>soft_PET_WG_SS_mass_mechanical</t>
  </si>
  <si>
    <t>soft_PE_WG_SS_mass_mechanical</t>
  </si>
  <si>
    <t>soft_PP_WG_SS_mass_mechanical</t>
  </si>
  <si>
    <t>soft_PS_WG_SS_mass_mechanical</t>
  </si>
  <si>
    <t>soft_Oth_WG_SS_mass_mechanical</t>
  </si>
  <si>
    <t>other_PET_WG_SS_mass_mechanical</t>
  </si>
  <si>
    <t>other_PE_WG_SS_mass_mechanical</t>
  </si>
  <si>
    <t>other_PP_WG_SS_mass_mechanical</t>
  </si>
  <si>
    <t>other_PS_WG_SS_mass_mechanical</t>
  </si>
  <si>
    <t>other_Oth_WG_SS_mass_mechanical</t>
  </si>
  <si>
    <t>bottle_PET_WG_INC_mass_mechanical</t>
  </si>
  <si>
    <t>bottle_PE_WG_INC_mass_mechanical</t>
  </si>
  <si>
    <t>bottle_PP_WG_INC_mass_mechanical</t>
  </si>
  <si>
    <t>bottle_PS_WG_INC_mass_mechanical</t>
  </si>
  <si>
    <t>bottle_Oth_WG_INC_mass_mechanical</t>
  </si>
  <si>
    <t>rigid_PET_WG_INC_mass_mechanical</t>
  </si>
  <si>
    <t>rigid_PE_WG_INC_mass_mechanical</t>
  </si>
  <si>
    <t>rigid_PP_WG_INC_mass_mechanical</t>
  </si>
  <si>
    <t>rigid_PS_WG_INC_mass_mechanical</t>
  </si>
  <si>
    <t>rigid_Oth_WG_INC_mass_mechanical</t>
  </si>
  <si>
    <t>soft_PET_WG_INC_mass_mechanical</t>
  </si>
  <si>
    <t>soft_PE_WG_INC_mass_mechanical</t>
  </si>
  <si>
    <t>soft_PP_WG_INC_mass_mechanical</t>
  </si>
  <si>
    <t>soft_PS_WG_INC_mass_mechanical</t>
  </si>
  <si>
    <t>soft_Oth_WG_INC_mass_mechanical</t>
  </si>
  <si>
    <t>other_PET_WG_INC_mass_mechanical</t>
  </si>
  <si>
    <t>other_PE_WG_INC_mass_mechanical</t>
  </si>
  <si>
    <t>other_PP_WG_INC_mass_mechanical</t>
  </si>
  <si>
    <t>other_PS_WG_INC_mass_mechanical</t>
  </si>
  <si>
    <t>other_Oth_WG_INC_mass_mechanical</t>
  </si>
  <si>
    <t>Total_WG_SS_bottle_mass_mechanical</t>
  </si>
  <si>
    <t>Total_WG_rigid_mass_mechanical</t>
  </si>
  <si>
    <t>Total_WG_soft_mass_mechanical</t>
  </si>
  <si>
    <t>Total_WG_other_mass_mechanical</t>
  </si>
  <si>
    <t>Total_WG_SS_mass_mechanical</t>
  </si>
  <si>
    <t>Total_WG_INC_bottle_mass_mechanical</t>
  </si>
  <si>
    <t>Total_WG_INC_rigid_mass_mechanical</t>
  </si>
  <si>
    <t>Total_WG_INC_soft_mass_mechanical</t>
  </si>
  <si>
    <t>Total_WG_INC_other_mass_mechanical</t>
  </si>
  <si>
    <t>Total_WG_INC_mass_mechanical</t>
  </si>
  <si>
    <t>bottle_PET_SS_COL_mass_mechanical</t>
  </si>
  <si>
    <t>bottle_PE_SS_COL_mass_mechanical</t>
  </si>
  <si>
    <t>bottle_PP_SS_COL_mass_mechanical</t>
  </si>
  <si>
    <t>bottle_PS_SS_COL_mass_mechanical</t>
  </si>
  <si>
    <t>bottle_Oth_SS_COL_mass_mechanical</t>
  </si>
  <si>
    <t>rigid_PET_SS_COL_mass_mechanical</t>
  </si>
  <si>
    <t>rigid_PE_SS_COL_mass_mechanical</t>
  </si>
  <si>
    <t>rigid_PP_SS_COL_mass_mechanical</t>
  </si>
  <si>
    <t>rigid_PS_SS_COL_mass_mechanical</t>
  </si>
  <si>
    <t>rigid_Oth_SS_COL_mass_mechanical</t>
  </si>
  <si>
    <t>soft_PET_SS_COL_mass_mechanical</t>
  </si>
  <si>
    <t>soft_PE_SS_COL_mass_mechanical</t>
  </si>
  <si>
    <t>soft_PP_SS_COL_mass_mechanical</t>
  </si>
  <si>
    <t>soft_PS_SS_COL_mass_mechanical</t>
  </si>
  <si>
    <t>soft_Oth_SS_COL_mass_mechanical</t>
  </si>
  <si>
    <t>Total_bottle_SS_COL_mass_mechanical</t>
  </si>
  <si>
    <t>Total_rigid_SS_COL_mass_mechanical</t>
  </si>
  <si>
    <t>Total_soft_SS_COL_mass_mechanical</t>
  </si>
  <si>
    <t>Total_SS_COL_mass_mechanical</t>
  </si>
  <si>
    <t>bottle_PET_SS_INC_mass_mechanical</t>
  </si>
  <si>
    <t>bottle_PE_SS_INC_mass_mechanical</t>
  </si>
  <si>
    <t>bottle_PP_SS_INC_mass_mechanical</t>
  </si>
  <si>
    <t>bottle_PS_SS_INC_mass_mechanical</t>
  </si>
  <si>
    <t>bottle_Oth_SS_INC_mass_mechanical</t>
  </si>
  <si>
    <t>rigid_PET_SS_INC_mass_mechanical</t>
  </si>
  <si>
    <t>rigid_PE_SS_INC_mass_mechanical</t>
  </si>
  <si>
    <t>rigid_PP_SS_INC_mass_mechanical</t>
  </si>
  <si>
    <t>rigid_PS_SS_INC_mass_mechanical</t>
  </si>
  <si>
    <t>rigid_Oth_SS_INC_mass_mechanical</t>
  </si>
  <si>
    <t>soft_PET_SS_INC_mass_mechanical</t>
  </si>
  <si>
    <t>soft_PE_SS_INC_mass_mechanical</t>
  </si>
  <si>
    <t>soft_PP_SS_INC_mass_mechanical</t>
  </si>
  <si>
    <t>soft_PS_SS_INC_mass_mechanical</t>
  </si>
  <si>
    <t>soft_Oth_SS_INC_mass_mechanical</t>
  </si>
  <si>
    <t>Total_bottle_SS_INC_mass_mechanical</t>
  </si>
  <si>
    <t>Total_rigid_SS_INC_mass_mechanical</t>
  </si>
  <si>
    <t>Total_soft_SS_INC_mass_mechanical</t>
  </si>
  <si>
    <t>Total_SS_INC_mass_mechanical</t>
  </si>
  <si>
    <t>bottle_PET_COL_SOR_mass_mechanical</t>
  </si>
  <si>
    <t>bottle_PE_COL_SOR_mass_mechanical</t>
  </si>
  <si>
    <t>bottle_PP_COL_SOR_mass_mechanical</t>
  </si>
  <si>
    <t>bottle_PS_COL_SOR_mass_mechanical</t>
  </si>
  <si>
    <t>bottle_Oth_COL_SOR_mass_mechanical</t>
  </si>
  <si>
    <t>rigid_PET_COL_SOR_mass_mechanical</t>
  </si>
  <si>
    <t>rigid_PE_COL_SOR_mass_mechanical</t>
  </si>
  <si>
    <t>rigid_PP_COL_SOR_mass_mechanical</t>
  </si>
  <si>
    <t>rigid_PS_COL_SOR_mass_mechanical</t>
  </si>
  <si>
    <t>rigid_Oth_COL_SOR_mass_mechanical</t>
  </si>
  <si>
    <t>soft_PET_COL_SOR_mass_mechanical</t>
  </si>
  <si>
    <t>soft_PE_COL_SOR_mass_mechanical</t>
  </si>
  <si>
    <t>soft_PP_COL_SOR_mass_mechanical</t>
  </si>
  <si>
    <t>soft_PS_COL_SOR_mass_mechanical</t>
  </si>
  <si>
    <t>soft_Oth_COL_SOR_mass_mechanical</t>
  </si>
  <si>
    <t>Total_bottle_COL_SOR_mass_mechanical</t>
  </si>
  <si>
    <t>Total_rigid_COL_SOR_mass_mechanical</t>
  </si>
  <si>
    <t>Total_soft_COL_SOR_mass_mechanical</t>
  </si>
  <si>
    <t>Total_COL_SOR_mass_mechanical</t>
  </si>
  <si>
    <t>bottle_PET_COL_INC_mass_mechanical</t>
  </si>
  <si>
    <t>bottle_PE_COL_EXP_mass_mechanical</t>
  </si>
  <si>
    <t>bottle_PP_COL_EXP_mass_mechanical</t>
  </si>
  <si>
    <t>bottle_PS_COL_EXP_mass_mechanical</t>
  </si>
  <si>
    <t>bottle_Oth_COL_EXP_mass_mechanical</t>
  </si>
  <si>
    <t>rigid_PET_COL_EXP_mass_mechanical</t>
  </si>
  <si>
    <t>rigid_PE_COL_EXP_mass_mechanical</t>
  </si>
  <si>
    <t>rigid_PP_COL_EXP_mass_mechanical</t>
  </si>
  <si>
    <t>rigid_PS_COL_EXP_mass_mechanical</t>
  </si>
  <si>
    <t>rigid_Oth_COL_EXP_mass_mechanical</t>
  </si>
  <si>
    <t>soft_PET_COL_EXP_mass_mechanical</t>
  </si>
  <si>
    <t>soft_PE_COL_EXP_mass_mechanical</t>
  </si>
  <si>
    <t>soft_PP_COL_EXP_mass_mechanical</t>
  </si>
  <si>
    <t>soft_PS_COL_EXP_mass_mechanical</t>
  </si>
  <si>
    <t>soft_Oth_COL_EXP_mass_mechanical</t>
  </si>
  <si>
    <t>Total_bottle_COL_EXP_mass_mechanical</t>
  </si>
  <si>
    <t>Total_rigid_COL_EXP_mass_mechanical</t>
  </si>
  <si>
    <t>Total_soft_COL_EXP_mass_mechanical</t>
  </si>
  <si>
    <t>Total_COL_EXP_mass_mechanical</t>
  </si>
  <si>
    <t>bottle_PET_SOR_RE_mass_mechanical</t>
  </si>
  <si>
    <t>bottle_PE_SOR_RE_mass_mechanical</t>
  </si>
  <si>
    <t>bottle_PP_SOR_RE_mass_mechanical</t>
  </si>
  <si>
    <t>bottle_PS_SOR_RE_mass_mechanical</t>
  </si>
  <si>
    <t>bottle_Oth_SOR_RE_mass_mechanical</t>
  </si>
  <si>
    <t>rigid_PET_SOR_RE_mass_mechanical</t>
  </si>
  <si>
    <t>rigid_PE_SOR_RE_mass_mechanical</t>
  </si>
  <si>
    <t>rigid_PP_SOR_RE_mass_mechanical</t>
  </si>
  <si>
    <t>rigid_PS_SOR_RE_mass_mechanical</t>
  </si>
  <si>
    <t>soft_PET_SOR_RE_mass_mechanical</t>
  </si>
  <si>
    <t>soft_PE_SOR_RE_mass_mechanical</t>
  </si>
  <si>
    <t>soft_PP_SOR_RE_mass_mechanical</t>
  </si>
  <si>
    <t>soft_PS_SOR_RE_mass_mechanical</t>
  </si>
  <si>
    <t>soft_Oth_SOR_RE_mass_mechanical</t>
  </si>
  <si>
    <t>Total_bottle_SOR_RE_mass_mechanical</t>
  </si>
  <si>
    <t>Total_rigid_SOR_RE_mass_mechanical</t>
  </si>
  <si>
    <t>Total_soft_SOR_RE_mass_mechanical</t>
  </si>
  <si>
    <t>Total_SOR_RE_mass_mechanical</t>
  </si>
  <si>
    <t>bottle_PET_SOR_INC_mass_mechanical</t>
  </si>
  <si>
    <t>bottle_PE_SOR_INC_mass_mechanical</t>
  </si>
  <si>
    <t>bottle_PP_SOR_INC_mass_mechanical</t>
  </si>
  <si>
    <t>bottle_PS_SOR_INC_mass_mechanical</t>
  </si>
  <si>
    <t>bottle_Oth_SOR_INC_mass_mechanical</t>
  </si>
  <si>
    <t>rigid_PET_SOR_INC_mass_mechanical</t>
  </si>
  <si>
    <t>rigid_PE_SOR_INC_mass_mechanical</t>
  </si>
  <si>
    <t>rigid_PP_SOR_INC_mass_mechanical</t>
  </si>
  <si>
    <t>rigid_PS_SOR_INC_mass_mechanical</t>
  </si>
  <si>
    <t>rigid_Other_SOR_INC_mass_mechanical</t>
  </si>
  <si>
    <t>soft_PET_SOR_INC_mass_mechanical</t>
  </si>
  <si>
    <t>soft_PE_SOR_INC_mass_mechanical</t>
  </si>
  <si>
    <t>soft_PP_SOR_INC_mass_mechanical</t>
  </si>
  <si>
    <t>soft_PS_SOR_INC_mass_mechanical</t>
  </si>
  <si>
    <t>soft_Oth_SOR_INC_mass_mechanical</t>
  </si>
  <si>
    <t>Total_bottle_SOR_INC_mass_mechanical</t>
  </si>
  <si>
    <t>Total_rigid_SOR_INC_mass_mechanical</t>
  </si>
  <si>
    <t>Total_soft_SOR_INC_mass_mechanical</t>
  </si>
  <si>
    <t>Total_SOR_INC_mass_mechanical</t>
  </si>
  <si>
    <t>bottle_PET_RE_NEW_mass_mechanical</t>
  </si>
  <si>
    <t>bottle_PE_RE_NEW_mass_mechanical</t>
  </si>
  <si>
    <t>bottle_PP_RE_NEW_mass_mechanical</t>
  </si>
  <si>
    <t>bottle_PS_RE_NEW_mass_mechanical</t>
  </si>
  <si>
    <t>bottle_Oth_RE_NEW_mass_mechanical</t>
  </si>
  <si>
    <t>rigid_PET_RE_NEW_mass_mechanical</t>
  </si>
  <si>
    <t>rigid_PE_RE_NEW_mass_mechanical</t>
  </si>
  <si>
    <t>rigid_PP_RE_NEW_mass_mechanical</t>
  </si>
  <si>
    <t>rigid_PS_RE_NEW_mass_mechanical</t>
  </si>
  <si>
    <t>rigid_Oth_RE_NEW_mass_mechanical</t>
  </si>
  <si>
    <t>soft_PET_RE_NEW_mass_mechanical</t>
  </si>
  <si>
    <t>soft_PE_RE_NEW_mass_mechanical</t>
  </si>
  <si>
    <t>soft_PP_RE_NEW_mass_mechanical</t>
  </si>
  <si>
    <t>soft_PS_RE_NEW_mass_mechanical</t>
  </si>
  <si>
    <t>soft_Oth_RE_NEW_mass_mechanical</t>
  </si>
  <si>
    <t>Total_bottle_RE_NEW_mass_mechanical</t>
  </si>
  <si>
    <t>Total_rigid_RE_NEW_mass_mechanical</t>
  </si>
  <si>
    <t>Total_soft_RE_NEW_mass_mechanical</t>
  </si>
  <si>
    <t>Total_RE_NEW_mass_mechanical</t>
  </si>
  <si>
    <t>bottle_PET_RE_INC_mass_mechanical</t>
  </si>
  <si>
    <t>bottle_PE_RE_INC_mass_mechanical</t>
  </si>
  <si>
    <t>bottle_PP_RE_INC_mass_mechanical</t>
  </si>
  <si>
    <t>bottle_PS_RE_INC_mass_mechanical</t>
  </si>
  <si>
    <t>bottle_Oth_RE_INC_mass_mechanical</t>
  </si>
  <si>
    <t>rigid_PET_RE_INC_mass_mechanical</t>
  </si>
  <si>
    <t>rigid_PE_RE_INC_mass_mechanical</t>
  </si>
  <si>
    <t>rigid_PP_RE_INC_mass_mechanical</t>
  </si>
  <si>
    <t>rigid_Oth_RE_INC_mass_mechanical</t>
  </si>
  <si>
    <t>rigid_PS_RE_INC_mass_mechanical</t>
  </si>
  <si>
    <t>soft_PET_RE_INC_mass_mechanical</t>
  </si>
  <si>
    <t>soft_PE_RE_INC_mass_mechanical</t>
  </si>
  <si>
    <t>soft_PP_RE_INC_mass_mechanical</t>
  </si>
  <si>
    <t>soft_PS_RE_INC_mass_mechanical</t>
  </si>
  <si>
    <t>soft_Oth_RE_INC_mass_mechanical</t>
  </si>
  <si>
    <t>Total_bottle_RE_INC_mass_mechanical</t>
  </si>
  <si>
    <t>Total_rigid_RE_INC_mass_mechanical</t>
  </si>
  <si>
    <t>Total_soft_RE_INC_mass_mechanical</t>
  </si>
  <si>
    <t>Total_RE_INC_mass_mechanical</t>
  </si>
  <si>
    <t>bottle_PET_INC_tot_mass_mechanical</t>
  </si>
  <si>
    <t>bottle_PE_INC_tot_mass_mechanical</t>
  </si>
  <si>
    <t>bottle_PP_INC_tot_mass_mechanical</t>
  </si>
  <si>
    <t>bottle_PS_INC_tot_mass_mechanical</t>
  </si>
  <si>
    <t>bottle_oth_INC_tot_mass_mechanical</t>
  </si>
  <si>
    <t>rigid_PET_INC_tot_mass_mechanical</t>
  </si>
  <si>
    <t>rigid_PE_INC_tot_mass_mechanical</t>
  </si>
  <si>
    <t>rigid_PP_INC_tot_mass_mechanical</t>
  </si>
  <si>
    <t>rigid_PS_INC_tot_mass_mechanical</t>
  </si>
  <si>
    <t>rigid_Oth_INC_tot_mass_mechanical</t>
  </si>
  <si>
    <t>soft_PET_INC_tot_mass_mechanical</t>
  </si>
  <si>
    <t>soft_PE_INC_tot_mass_mechanical</t>
  </si>
  <si>
    <t>soft_PP_INC_tot_mass_mechanical</t>
  </si>
  <si>
    <t>soft_PS_INC_tot_mass_mechanical</t>
  </si>
  <si>
    <t>soft_Oth_INC_tot_mass_mechanical</t>
  </si>
  <si>
    <t>other_PET_INC_tot_mass_mechanical</t>
  </si>
  <si>
    <t>other_PE_INC_tot_mass_mechanical</t>
  </si>
  <si>
    <t>other_PP_INC_tot_mass_mechanical</t>
  </si>
  <si>
    <t>other_PS_INC_tot_mass_mechanical</t>
  </si>
  <si>
    <t>other_Oth_INC_tot_mass_mechanical</t>
  </si>
  <si>
    <t>bottle_PET_INC_ASH_mass_mechanical</t>
  </si>
  <si>
    <t>bottle_PE_INC_ASH_mass_mechanical</t>
  </si>
  <si>
    <t>bottle_PP_INC_ASH_mass_mechanical</t>
  </si>
  <si>
    <t>bottle_PS_INC_ASH_mass_mechanical</t>
  </si>
  <si>
    <t>bottle_Oth_INC_ASH_mass_mechanical</t>
  </si>
  <si>
    <t>rigid_PET_INC_ASH_mass_mechanical</t>
  </si>
  <si>
    <t>rigid_PE_INC_ASH_mass_mechanical</t>
  </si>
  <si>
    <t>rigid_PP_INC_ASH_mass_mechanical</t>
  </si>
  <si>
    <t>rigid_PS_INC_ASH_mass_mechanical</t>
  </si>
  <si>
    <t>rigid_Oth_INC_ASH_mass_mechanical</t>
  </si>
  <si>
    <t>soft_PET_INC_ASH_mass_mechanical</t>
  </si>
  <si>
    <t>soft_PE_INC_ASH_mass_mechanical</t>
  </si>
  <si>
    <t>soft_PP_INC_ASH_mass_mechanical</t>
  </si>
  <si>
    <t>soft_PS_INC_ASH_mass_mechanical</t>
  </si>
  <si>
    <t>soft_Oth_INC_ASH_mass_mechanical</t>
  </si>
  <si>
    <t>other_PET_INC_ASH_mass_mechanical</t>
  </si>
  <si>
    <t>other_PE_INC_ASH_mass_mechanical</t>
  </si>
  <si>
    <t>other_PP_INC_ASH_mass_mechanical</t>
  </si>
  <si>
    <t>other_PS_INC_ASH_mass_mechanical</t>
  </si>
  <si>
    <t>other_Oth_INC_ASH_mass_mechanical</t>
  </si>
  <si>
    <t>bottle_PET_INC_AIR_mass_mechanical</t>
  </si>
  <si>
    <t>bottle_PE_INC_AIR_mass_mechanical</t>
  </si>
  <si>
    <t>bottle_PP_INC_AIR_mass_mechanical</t>
  </si>
  <si>
    <t>bottle_PS_INC_AIR_mass_mechanical</t>
  </si>
  <si>
    <t>bottle_Oth_INC_AIR_mass_mechanical</t>
  </si>
  <si>
    <t>rigid_PET_INC_AIR_mass_mechanical</t>
  </si>
  <si>
    <t>rigid_PE_INC_AIR_mass_mechanical</t>
  </si>
  <si>
    <t>rigid_PP_INC_AIR_mass_mechanical</t>
  </si>
  <si>
    <t>rigid_PS_INC_AIR_mass_mechanical</t>
  </si>
  <si>
    <t>rigid_Oth_INC_AIR_mass_mechanical</t>
  </si>
  <si>
    <t>soft_PET_INC_AIR_mass_mechanical</t>
  </si>
  <si>
    <t>soft_PE_INC_AIR_mass_mechanical</t>
  </si>
  <si>
    <t>soft_PP_INC_AIR_mass_mechanical</t>
  </si>
  <si>
    <t>soft_PS_INC_AIR_mass_mechanical</t>
  </si>
  <si>
    <t>soft_Oth_INC_AIR_mass_mechanical</t>
  </si>
  <si>
    <t>other_PET_INC_AIR_mass_mechanical</t>
  </si>
  <si>
    <t>other_PE_INC_AIR_mass_mechanical</t>
  </si>
  <si>
    <t>other_PP_INC_AIR_mass_mechanical</t>
  </si>
  <si>
    <t>other_PS_INC_AIR_mass_mechanical</t>
  </si>
  <si>
    <t>other_Oth_INC_AIR_mass_mechanical</t>
  </si>
  <si>
    <t>Total_bottle_INC_ASH_mass_mechanical</t>
  </si>
  <si>
    <t>Total_rigid_INC_ASH_mass_mechanical</t>
  </si>
  <si>
    <t>Total_soft_INC_ASH_mass_mechanical</t>
  </si>
  <si>
    <t>Total_other_INC_ASH_mass_mechanical</t>
  </si>
  <si>
    <t>Total_INC_ASH_mass_mechanical</t>
  </si>
  <si>
    <t>Total_bottle_INC_AIR_mass_mechanical</t>
  </si>
  <si>
    <t>Total_rigid_INC_AIR_mass_mechanical</t>
  </si>
  <si>
    <t>Total_soft_INC_AIR_mass_mechanical</t>
  </si>
  <si>
    <t>Total_other_INC_AIR_mass_mechanical</t>
  </si>
  <si>
    <t>Total_INC_AIR_mass_mechanical</t>
  </si>
  <si>
    <t>bottle_PET_AIR_LOSS_mass_mechanical</t>
  </si>
  <si>
    <t>bottle_PE_AIR_LOSS_mass_mechanical</t>
  </si>
  <si>
    <t>bottle_PP_AIR_LOSS_mass_mechanical</t>
  </si>
  <si>
    <t>bottle_PS_AIR_LOSS_mass_mechanical</t>
  </si>
  <si>
    <t>bottle_Oth_AIR_LOSS_mass_mechanical</t>
  </si>
  <si>
    <t>rigid_PET_AIR_LOSS_mass_mechanical</t>
  </si>
  <si>
    <t>rigid_PE_AIR_LOSS_mass_mechanical</t>
  </si>
  <si>
    <t>rigid_PP_AIR_LOSS_mass_mechanical</t>
  </si>
  <si>
    <t>rigid_PS_AIR_LOSS_mass_mechanical</t>
  </si>
  <si>
    <t>rigid_Oth_AIR_LOSS_mass_mechanical</t>
  </si>
  <si>
    <t>soft_PET_AIR_LOSS_mass_mechanical</t>
  </si>
  <si>
    <t>soft_PE_AIR_LOSS_mass_mechanical</t>
  </si>
  <si>
    <t>soft_PP_AIR_LOSS_mass_mechanical</t>
  </si>
  <si>
    <t>soft_PS_AIR_LOSS_mass_mechanical</t>
  </si>
  <si>
    <t>soft_Oth_AIR_LOSS_mass_mechanical</t>
  </si>
  <si>
    <t>other_PET_AIR_LOSS_mass_mechanical</t>
  </si>
  <si>
    <t>other_PE_AIR_LOSS_mass_mechanical</t>
  </si>
  <si>
    <t>other_PP_AIR_LOSS_mass_mechanical</t>
  </si>
  <si>
    <t>other_PS_AIR_LOSS_mass_mechanical</t>
  </si>
  <si>
    <t>other_Oth_AIR_LOSS_mass_mechanical</t>
  </si>
  <si>
    <t>Total_bottle_AIR_LOSS_mass_mechanical</t>
  </si>
  <si>
    <t>Total_rigid_AIR_LOSS_mass_mechanical</t>
  </si>
  <si>
    <t>Total_soft_AIR_LOSS_mass_mechanical</t>
  </si>
  <si>
    <t>Total_other_AIR_LOSS_mass_mechanical</t>
  </si>
  <si>
    <t>Total_AIR_LOSS_mass_mechanical</t>
  </si>
  <si>
    <t>bottle_PET_WG_SS_carbon_mechanical</t>
  </si>
  <si>
    <t>bottle_PE_WG_SS_carbon_mechanical</t>
  </si>
  <si>
    <t>bottle_PP_WG_SS_carbon_mechanical</t>
  </si>
  <si>
    <t>bottle_PS_WG_SS_carbon_mechanical</t>
  </si>
  <si>
    <t>bottle_Oth_WG_SS_carbon_mechanical</t>
  </si>
  <si>
    <t>rigid_PET_WG_SS_carbon_mechanical</t>
  </si>
  <si>
    <t>rigid_PE_WG_SS_carbon_mechanical</t>
  </si>
  <si>
    <t>rigid_PP_WG_SS_carbon_mechanical</t>
  </si>
  <si>
    <t>rigid_PS_WG_SS_carbon_mechanical</t>
  </si>
  <si>
    <t>rigid_Oth_WG_SS_carbon_mechanical</t>
  </si>
  <si>
    <t>soft_PET_WG_SS_carbon_mechanical</t>
  </si>
  <si>
    <t>soft_PE_WG_SS_carbon_mechanical</t>
  </si>
  <si>
    <t>soft_PP_WG_SS_carbon_mechanical</t>
  </si>
  <si>
    <t>soft_PS_WG_SS_carbon_mechanical</t>
  </si>
  <si>
    <t>soft_Oth_WG_SS_carbon_mechanical</t>
  </si>
  <si>
    <t>other_PET_WG_SS_carbon_mechanical</t>
  </si>
  <si>
    <t>other_PE_WG_SS_carbon_mechanical</t>
  </si>
  <si>
    <t>other_PP_WG_SS_carbon_mechanical</t>
  </si>
  <si>
    <t>other_PS_WG_SS_carbon_mechanical</t>
  </si>
  <si>
    <t>other_Oth_WG_SS_carbon_mechanical</t>
  </si>
  <si>
    <t>Total_WG_SS_bottle_carbon_mechanical</t>
  </si>
  <si>
    <t>Total_WG_rigid_carbon_mechanical</t>
  </si>
  <si>
    <t>Total_WG_soft_carbon_mechanical</t>
  </si>
  <si>
    <t>Total_WG_other_carbon_mechanical</t>
  </si>
  <si>
    <t>Total_WG_SS_carbon_mechanical</t>
  </si>
  <si>
    <t>bottle_PET_WG_INC_carbon_mechanical</t>
  </si>
  <si>
    <t>bottle_PE_WG_INC_carbon_mechanical</t>
  </si>
  <si>
    <t>bottle_PP_WG_INC_carbon_mechanical</t>
  </si>
  <si>
    <t>bottle_PS_WG_INC_carbon_mechanical</t>
  </si>
  <si>
    <t>bottle_Oth_WG_INC_carbon_mechanical</t>
  </si>
  <si>
    <t>rigid_PET_WG_INC_carbon_mechanical</t>
  </si>
  <si>
    <t>rigid_PE_WG_INC_carbon_mechanical</t>
  </si>
  <si>
    <t>rigid_PP_WG_INC_carbon_mechanical</t>
  </si>
  <si>
    <t>rigid_PS_WG_INC_carbon_mechanical</t>
  </si>
  <si>
    <t>rigid_Oth_WG_INC_carbon_mechanical</t>
  </si>
  <si>
    <t>soft_PE_WG_INC_carbon_mechanical</t>
  </si>
  <si>
    <t>soft_PP_WG_INC_carbon_mechanical</t>
  </si>
  <si>
    <t>soft_PS_WG_INC_carbon_mechanical</t>
  </si>
  <si>
    <t>soft_Oth_WG_INC_carbon_mechanical</t>
  </si>
  <si>
    <t>other_PET_WG_INC_carbon_mechanical</t>
  </si>
  <si>
    <t>other_PE_WG_INC_carbon_mechanical</t>
  </si>
  <si>
    <t>other_PP_WG_INC_carbon_mechanical</t>
  </si>
  <si>
    <t>other_PS_WG_INC_carbon_mechanical</t>
  </si>
  <si>
    <t>other_Oth_WG_INC_carbon_mechanical</t>
  </si>
  <si>
    <t>Total_WG_INC_bottle_carbon_mechanical</t>
  </si>
  <si>
    <t>Total_WG_INC_rigid_carbon_mechanical</t>
  </si>
  <si>
    <t>Total_WG_INC_soft_carbon_mechanical</t>
  </si>
  <si>
    <t>Total_WG_INC_other_carbon_mechanical</t>
  </si>
  <si>
    <t>Total_WG_INC_carbon_mechanical</t>
  </si>
  <si>
    <t>bottle_PET_SS_COL_carbon_mechanical</t>
  </si>
  <si>
    <t>bottle_PE_SS_COL_carbon_mechanical</t>
  </si>
  <si>
    <t>bottle_PP_SS_COL_carbon_mechanical</t>
  </si>
  <si>
    <t>bottle_PS_SS_COL_carbon_mechanical</t>
  </si>
  <si>
    <t>bottle_Oth_SS_COL_carbon_mechanical</t>
  </si>
  <si>
    <t>rigid_PET_SS_COL_carbon_mechanical</t>
  </si>
  <si>
    <t>rigid_PE_SS_COL_carbon_mechanical</t>
  </si>
  <si>
    <t>rigid_PP_SS_COL_carbon_mechanical</t>
  </si>
  <si>
    <t>rigid_PS_SS_COL_carbon_mechanical</t>
  </si>
  <si>
    <t>rigid_Oth_SS_COL_carbon_mechanical</t>
  </si>
  <si>
    <t>soft_PET_SS_COL_carbon_mechanical</t>
  </si>
  <si>
    <t>soft_PE_SS_COL_carbon_mechanical</t>
  </si>
  <si>
    <t>soft_PP_SS_COL_carbon_mechanical</t>
  </si>
  <si>
    <t>soft_PS_SS_COL_carbon_mechanical</t>
  </si>
  <si>
    <t>soft_Oth_SS_COL_carbon_mechanical</t>
  </si>
  <si>
    <t>Total_bottle_SS_COL_carbon_mechanical</t>
  </si>
  <si>
    <t>Total_rigid_SS_COL_carbon_mechanical</t>
  </si>
  <si>
    <t>Total_soft_SS_COL_carbon_mechanical</t>
  </si>
  <si>
    <t>Total_SS_COL_carbon_mechanical</t>
  </si>
  <si>
    <t>Total_bottle_SS_INC_carbon_mechanical</t>
  </si>
  <si>
    <t>Total_rigid_SS_INC_carbon_mechanical</t>
  </si>
  <si>
    <t>Total_soft_SS_INC_carbon_mechanical</t>
  </si>
  <si>
    <t>Total_SS_INC_carbon_mechanical</t>
  </si>
  <si>
    <t>bottle_PET_COL_SOR_carbon_mechanical</t>
  </si>
  <si>
    <t>bottle_PE_COL_SOR_carbon_mechanical</t>
  </si>
  <si>
    <t>bottle_PP_COL_SOR_carbon_mechanical</t>
  </si>
  <si>
    <t>bottle_PS_COL_SOR_carbon_mechanical</t>
  </si>
  <si>
    <t>bottle_Oth_COL_SOR_carbon_mechanical</t>
  </si>
  <si>
    <t>rigid_PET_COL_SOR_carbon_mechanical</t>
  </si>
  <si>
    <t>rigid_PE_COL_SOR_carbon_mechanical</t>
  </si>
  <si>
    <t>rigid_PP_COL_SOR_carbon_mechanical</t>
  </si>
  <si>
    <t>rigid_PS_COL_SOR_carbon_mechanical</t>
  </si>
  <si>
    <t>rigid_Oth_COL_SOR_carbon_mechanical</t>
  </si>
  <si>
    <t>soft_PET_COL_SOR_carbon_mechanical</t>
  </si>
  <si>
    <t>soft_PE_COL_SOR_carbon_mechanical</t>
  </si>
  <si>
    <t>soft_PP_COL_SOR_carbon_mechanical</t>
  </si>
  <si>
    <t>soft_PS_COL_SOR_carbon_mechanical</t>
  </si>
  <si>
    <t>soft_Oth_COL_SOR_carbon_mechanical</t>
  </si>
  <si>
    <t>Total_bottle_COL_SOR_carbon_mechanical</t>
  </si>
  <si>
    <t>Total_rigid_COL_SOR_carbon_mechanical</t>
  </si>
  <si>
    <t>Total_soft_COL_SOR_carbon_mechanical</t>
  </si>
  <si>
    <t>Total_COL_SOR_carbon_mechanical</t>
  </si>
  <si>
    <t>bottle_PET_COL_EXP_carbon_mechanical</t>
  </si>
  <si>
    <t>bottle_PE_COL_EXP_carbon_mechanical</t>
  </si>
  <si>
    <t>bottle_PP_COL_EXP_carbon_mechanical</t>
  </si>
  <si>
    <t>bottle_PS_COL_EXP_carbon_mechanical</t>
  </si>
  <si>
    <t>bottle_Oth_COL_EXP_carbon_mechanical</t>
  </si>
  <si>
    <t>rigid_PET_COL_EXP_carbon_mechanical</t>
  </si>
  <si>
    <t>rigid_PE_COL_EXP_carbon_mechanical</t>
  </si>
  <si>
    <t>rigid_PP_COL_EXP_carbon_mechanical</t>
  </si>
  <si>
    <t>rigid_PS_COL_EXP_carbon_mechanical</t>
  </si>
  <si>
    <t>rigid_Oth_COL_EXP_carbon_mechanical</t>
  </si>
  <si>
    <t>soft_PET_COL_EXP_carbon_mechanical</t>
  </si>
  <si>
    <t>soft_PE_COL_EXP_carbon_mechanical</t>
  </si>
  <si>
    <t>soft_PP_COL_EXP_carbon_mechanical</t>
  </si>
  <si>
    <t>soft_PS_COL_EXP_carbon_mechanical</t>
  </si>
  <si>
    <t>soft_Oth_COL_EXP_carbon_mechanical</t>
  </si>
  <si>
    <t>Total_bottle_COL_EXP_carbon_mechanical</t>
  </si>
  <si>
    <t>Total_rigid_COL_EXP_carbon_mechanical</t>
  </si>
  <si>
    <t>Total_soft_COL_EXP_carbon_mechanical</t>
  </si>
  <si>
    <t>Total_COL_EXP_carbon_mechanical</t>
  </si>
  <si>
    <t>bottle_PET_SOR_RE_carbon_mechanical</t>
  </si>
  <si>
    <t>bottle_PE_SOR_RE_carbon_mechanical</t>
  </si>
  <si>
    <t>bottle_PP_SOR_RE_carbon_mechanical</t>
  </si>
  <si>
    <t>bottle_PS_SOR_RE_carbon_mechanical</t>
  </si>
  <si>
    <t>bottle_Oth_SOR_RE_carbon_mechanical</t>
  </si>
  <si>
    <t>rigid_PET_SOR_RE_carbon_mechanical</t>
  </si>
  <si>
    <t>rigid_PE_SOR_RE_carbon_mechanical</t>
  </si>
  <si>
    <t>rigid_PP_SOR_RE_carbon_mechanical</t>
  </si>
  <si>
    <t>rigid_PS_SOR_RE_carbon_mechanical</t>
  </si>
  <si>
    <t>rigid_Oth_SOR_RE_carbon_mechanical</t>
  </si>
  <si>
    <t>soft_PET_SOR_RE_carbon_mechanical</t>
  </si>
  <si>
    <t>soft_PE_SOR_RE_carbon_mechanical</t>
  </si>
  <si>
    <t>soft_PP_SOR_RE_carbon_mechanical</t>
  </si>
  <si>
    <t>soft_PS_SOR_RE_carbon_mechanical</t>
  </si>
  <si>
    <t>soft_Oth_SOR_RE_carbon_mechanical</t>
  </si>
  <si>
    <t>Total_bottle_SOR_RE_carbon_mechanical</t>
  </si>
  <si>
    <t>Total_rigid_SOR_RE_carbon_mechanical</t>
  </si>
  <si>
    <t>Total_soft_SOR_RE_carbon_mechanical</t>
  </si>
  <si>
    <t>Total_SOR_RE_carbon_mechanical</t>
  </si>
  <si>
    <t>bottle_PET_SOR_INC_carbon_mechanical</t>
  </si>
  <si>
    <t>bottle_PE_SOR_INC_carbon_mechanical</t>
  </si>
  <si>
    <t>bottle_PP_SOR_INC_carbon_mechanical</t>
  </si>
  <si>
    <t>bottle_PS_SOR_INC_carbon_mechanical</t>
  </si>
  <si>
    <t>bottle_Oth_SOR_INC_carbon_mechanical</t>
  </si>
  <si>
    <t>rigid_PET_SOR_INC_carbon_mechanical</t>
  </si>
  <si>
    <t>rigid_PE_SOR_INC_carbon_mechanical</t>
  </si>
  <si>
    <t>rigid_PP_SOR_INC_carbon_mechanical</t>
  </si>
  <si>
    <t>rigid_PS_SOR_INC_carbon_mechanical</t>
  </si>
  <si>
    <t>rigid_Oth_SOR_INC_carbon_mechanical</t>
  </si>
  <si>
    <t>soft_PET_SOR_INC_carbon_mechanical</t>
  </si>
  <si>
    <t>soft_PE_SOR_INC_carbon_mechanical</t>
  </si>
  <si>
    <t>soft_PP_SOR_INC_carbon_mechanical</t>
  </si>
  <si>
    <t>soft_PS_SOR_INC_carbon_mechanical</t>
  </si>
  <si>
    <t>soft_Oth_SOR_INC_carbon_mechanical</t>
  </si>
  <si>
    <t>Total_bottle_SOR_INC_carbon_mechanical</t>
  </si>
  <si>
    <t>Total_rigid_SOR_INC_carbon_mechanical</t>
  </si>
  <si>
    <t>Total_soft_SOR_INC_carbon_mechanical</t>
  </si>
  <si>
    <t>Total_SOR_INC_carbon_mechanical</t>
  </si>
  <si>
    <t>bottle_PET_RE_NEW_carbon_mechanical</t>
  </si>
  <si>
    <t>bottle_PE_RE_NEW_carbon_mechanical</t>
  </si>
  <si>
    <t>bottle_PP_RE_NEW_carbon_mechanical</t>
  </si>
  <si>
    <t>bottle_PS_RE_NEW_carbon_mechanical</t>
  </si>
  <si>
    <t>bottle_Oth_RE_NEW_carbon_mechanical</t>
  </si>
  <si>
    <t>rigid_PET_RE_NEW_carbon_mechanical</t>
  </si>
  <si>
    <t>rigid_PE_RE_NEW_carbon_mechanical</t>
  </si>
  <si>
    <t>rigid_PP_RE_NEW_carbon_mechanical</t>
  </si>
  <si>
    <t>rigid_PS_RE_NEW_carbon_mechanical</t>
  </si>
  <si>
    <t>rigid_Oth_RE_NEW_carbon_mechanical</t>
  </si>
  <si>
    <t>soft_PET_RE_NEW_carbon_mechanical</t>
  </si>
  <si>
    <t>soft_PE_RE_NEW_carbon_mechanical</t>
  </si>
  <si>
    <t>soft_PP_RE_NEW_carbon_mechanical</t>
  </si>
  <si>
    <t>soft_PS_RE_NEW_carbon_mechanical</t>
  </si>
  <si>
    <t>soft_Oth_RE_NEW_carbon_mechanical</t>
  </si>
  <si>
    <t>Total_bottle_RE_NEW_carbon_mechanical</t>
  </si>
  <si>
    <t>Total_rigid_RE_NEW_carbon_mechanical</t>
  </si>
  <si>
    <t>Total_soft_RE_NEW_carbon_mechanical</t>
  </si>
  <si>
    <t>Total_RE_NEW_carbon_mechanical</t>
  </si>
  <si>
    <t>bottle_PET_RE_INC_carbon_mechanical</t>
  </si>
  <si>
    <t>bottle_PE_RE_INC_carbon_mechanical</t>
  </si>
  <si>
    <t>bottle_PP_RE_INC_carbon_mechanical</t>
  </si>
  <si>
    <t>bottle_PS_RE_INC_carbon_mechanical</t>
  </si>
  <si>
    <t>bottle_Oth_RE_INC_carbon_mechanical</t>
  </si>
  <si>
    <t>rigid_PET_RE_INC_carbon_mechanical</t>
  </si>
  <si>
    <t>rigid_PE_RE_INC_carbon_mechanical</t>
  </si>
  <si>
    <t>rigid_PP_RE_INC_carbon_mechanical</t>
  </si>
  <si>
    <t>rigid_PS_RE_INC_carbon_mechanical</t>
  </si>
  <si>
    <t>rigid_Oth_RE_INC_carbon_mechanical</t>
  </si>
  <si>
    <t>soft_PET_RE_INC_carbon_mechanical</t>
  </si>
  <si>
    <t>soft_PE_RE_INC_carbon_mechanical</t>
  </si>
  <si>
    <t>soft_PP_RE_INC_carbon_mechanical</t>
  </si>
  <si>
    <t>soft_PS_RE_INC_carbon_mechanical</t>
  </si>
  <si>
    <t>soft_Oth_RE_INC_carbon_mechanical</t>
  </si>
  <si>
    <t>Total_bottle_RE_INC_carbon_mechanical</t>
  </si>
  <si>
    <t>Total_rigid_RE_INC_carbon_mechanical</t>
  </si>
  <si>
    <t>Total_soft_RE_INC_carbon_mechanical</t>
  </si>
  <si>
    <t>Total_RE_INC_carbon_mechanical</t>
  </si>
  <si>
    <t>bottle_PET_INC_tot_carbon_mechanical</t>
  </si>
  <si>
    <t>bottle_PE_INC_tot_carbon_mechanical</t>
  </si>
  <si>
    <t>bottle_PP_INC_tot_carbon_mechanical</t>
  </si>
  <si>
    <t>bottle_PS_INC_tot_carbon_mechanical</t>
  </si>
  <si>
    <t>bottle_oth_INC_tot_carbon_mechanical</t>
  </si>
  <si>
    <t>rigid_PET_INC_tot_carbon_mechanical</t>
  </si>
  <si>
    <t>rigid_PE_INC_tot_carbon_mechanical</t>
  </si>
  <si>
    <t>rigid_PP_INC_tot_carbon_mechanical</t>
  </si>
  <si>
    <t>rigid_PS_INC_tot_carbon_mechanical</t>
  </si>
  <si>
    <t>rigid_Oth_INC_tot_carbon_mechanical</t>
  </si>
  <si>
    <t>soft_PET_INC_tot_carbon_mechanical</t>
  </si>
  <si>
    <t>soft_PE_INC_tot_carbon_mechanical</t>
  </si>
  <si>
    <t>soft_PP_INC_tot_carbon_mechanical</t>
  </si>
  <si>
    <t>soft_PS_INC_tot_carbon_mechanical</t>
  </si>
  <si>
    <t>soft_Oth_INC_tot_carbon_mechanical</t>
  </si>
  <si>
    <t>bottle_PET_INC_ASH_carbon_mechanical</t>
  </si>
  <si>
    <t>bottle_PE_INC_ASH_carbon_mechanical</t>
  </si>
  <si>
    <t>bottle_PP_INC_ASH_carbon_mechanical</t>
  </si>
  <si>
    <t>bottle_PS_INC_ASH_carbon_mechanical</t>
  </si>
  <si>
    <t>bottle_Oth_INC_ASH_carbon_mechanical</t>
  </si>
  <si>
    <t>rigid_PET_INC_ASH_carbon_mechanical</t>
  </si>
  <si>
    <t>rigid_PE_INC_ASH_carbon_mechanical</t>
  </si>
  <si>
    <t>rigid_PP_INC_ASH_carbon_mechanical</t>
  </si>
  <si>
    <t>rigid_PS_INC_ASH_carbon_mechanical</t>
  </si>
  <si>
    <t>rigid_Oth_INC_ASH_carbon_mechanical</t>
  </si>
  <si>
    <t>soft_PET_INC_ASH_carbon_mechanical</t>
  </si>
  <si>
    <t>soft_PE_INC_ASH_carbon_mechanical</t>
  </si>
  <si>
    <t>soft_PP_INC_ASH_carbon_mechanical</t>
  </si>
  <si>
    <t>soft_PS_INC_ASH_carbon_mechanical</t>
  </si>
  <si>
    <t>soft_Oth_INC_ASH_carbon_mechanical</t>
  </si>
  <si>
    <t>other_PET_INC_ASH_carbon_mechanical</t>
  </si>
  <si>
    <t>other_PE_INC_ASH_carbon_mechanical</t>
  </si>
  <si>
    <t>other_PP_INC_ASH_carbon_mechanical</t>
  </si>
  <si>
    <t>other_PS_INC_ASH_carbon_mechanical</t>
  </si>
  <si>
    <t>other_Oth_INC_ASH_carbon_mechanical</t>
  </si>
  <si>
    <t>bottle_PET_INC_AIR_carbon_mechanical</t>
  </si>
  <si>
    <t>bottle_PE_INC_AIR_carbon_mechanical</t>
  </si>
  <si>
    <t>bottle_PP_INC_AIR_carbon_mechanical</t>
  </si>
  <si>
    <t>bottle_PS_INC_AIR_carbon_mechanical</t>
  </si>
  <si>
    <t>bottle_Oth_INC_AIR_carbon_mechanical</t>
  </si>
  <si>
    <t>rigid_PET_INC_AIR_carbon_mechanical</t>
  </si>
  <si>
    <t>rigid_PE_INC_AIR_carbon_mechanical</t>
  </si>
  <si>
    <t>rigid_PP_INC_AIR_carbon_mechanical</t>
  </si>
  <si>
    <t>rigid_PS_INC_AIR_carbon_mechanical</t>
  </si>
  <si>
    <t>rigid_Oth_INC_AIR_carbon_mechanical</t>
  </si>
  <si>
    <t>soft_PET_INC_AIR_carbon_mechanical</t>
  </si>
  <si>
    <t>soft_PE_INC_AIR_carbon_mechanical</t>
  </si>
  <si>
    <t>soft_PP_INC_AIR_carbon_mechanical</t>
  </si>
  <si>
    <t>soft_PS_INC_AIR_carbon_mechanical</t>
  </si>
  <si>
    <t>soft_Oth_INC_AIR_carbon_mechanical</t>
  </si>
  <si>
    <t>other_PET_INC_AIR_carbon_mechanical</t>
  </si>
  <si>
    <t>other_PE_INC_AIR_carbon_mechanical</t>
  </si>
  <si>
    <t>other_PP_INC_AIR_carbon_mechanical</t>
  </si>
  <si>
    <t>other_PS_INC_AIR_carbon_mechanical</t>
  </si>
  <si>
    <t>other_Oth_INC_AIR_carbon_mechanical</t>
  </si>
  <si>
    <t>Total_bottle_INC_AIR_carbon_mechanical</t>
  </si>
  <si>
    <t>Total_rigid_INC_AIR_carbon_mechanical</t>
  </si>
  <si>
    <t>Total_soft_INC_AIR_carbon_mechanical</t>
  </si>
  <si>
    <t>Total_other_INC_AIR_carbon_mechanical</t>
  </si>
  <si>
    <t>Total_INC_AIR_carbon_mechanical</t>
  </si>
  <si>
    <t>bottle_PET_AIR_LOSS_carbon_mechanical</t>
  </si>
  <si>
    <t>bottle_PE_AIR_LOSS_carbon_mechanical</t>
  </si>
  <si>
    <t>bottle_PP_AIR_LOSS_carbon_mechanical</t>
  </si>
  <si>
    <t>bottle_PS_AIR_LOSS_carbon_mechanical</t>
  </si>
  <si>
    <t>bottle_Oth_AIR_LOSS_carbon_mechanical</t>
  </si>
  <si>
    <t>rigid_PET_AIR_LOSS_carbon_mechanical</t>
  </si>
  <si>
    <t>rigid_PE_AIR_LOSS_carbon_mechanical</t>
  </si>
  <si>
    <t>rigid_PP_AIR_LOSS_carbon_mechanical</t>
  </si>
  <si>
    <t>rigid_PS_AIR_LOSS_carbon_mechanical</t>
  </si>
  <si>
    <t>rigid_Oth_AIR_LOSS_carbon_mechanical</t>
  </si>
  <si>
    <t>soft_PET_AIR_LOSS_carbon_mechanical</t>
  </si>
  <si>
    <t>soft_PE_AIR_LOSS_carbon_mechanical</t>
  </si>
  <si>
    <t>soft_PP_AIR_LOSS_carbon_mechanical</t>
  </si>
  <si>
    <t>soft_PS_AIR_LOSS_carbon_mechanical</t>
  </si>
  <si>
    <t>soft_Oth_AIR_LOSS_carbon_mechanical</t>
  </si>
  <si>
    <t>other_PET_AIR_LOSS_carbon_mechanical</t>
  </si>
  <si>
    <t>other_PE_AIR_LOSS_carbon_mechanical</t>
  </si>
  <si>
    <t>other_PP_AIR_LOSS_carbon_mechanical</t>
  </si>
  <si>
    <t>other_PS_AIR_LOSS_carbon_mechanical</t>
  </si>
  <si>
    <t>other_Oth_AIR_LOSS_carbon_mechanical</t>
  </si>
  <si>
    <t>Total_bottle_AIR_LOSS_carbon_mechanical</t>
  </si>
  <si>
    <t>Total_rigid_AIR_LOSS_carbon_mechanical</t>
  </si>
  <si>
    <t>Total_soft_AIR_LOSS_carbon_mechanical</t>
  </si>
  <si>
    <t>Total_other_AIR_LOSS_carbon_mechanical</t>
  </si>
  <si>
    <t>Total_AIR_LOSS_carbon_mechanical</t>
  </si>
  <si>
    <t>bottle_PET_WG_SS_energy_mechanical</t>
  </si>
  <si>
    <t>bottle_PE_WG_SS_energy_mechanical</t>
  </si>
  <si>
    <t>bottle_PP_WG_SS_energy_mechanical</t>
  </si>
  <si>
    <t>bottle_PS_WG_SS_energy_mechanical</t>
  </si>
  <si>
    <t>bottle_Oth_WG_SS_energy_mechanical</t>
  </si>
  <si>
    <t>rigid_PET_WG_SS_energy_mechanical</t>
  </si>
  <si>
    <t>rigid_PE_WG_SS_energy_mechanical</t>
  </si>
  <si>
    <t>rigid_PP_WG_SS_energy_mechanical</t>
  </si>
  <si>
    <t>rigid_PS_WG_SS_energy_mechanical</t>
  </si>
  <si>
    <t>rigid_Oth_WG_SS_energy_mechanical</t>
  </si>
  <si>
    <t>soft_PET_WG_SS_energy_mechanical</t>
  </si>
  <si>
    <t>soft_PE_WG_SS_energy_mechanical</t>
  </si>
  <si>
    <t>soft_PO_WG_SS_energy_mechanical</t>
  </si>
  <si>
    <t>soft_PS_WG_SS_energy_mechanical</t>
  </si>
  <si>
    <t>soft_Oth_WG_SS_energy_mechanical</t>
  </si>
  <si>
    <t>other_PET_WG_SS_energy_mechanical</t>
  </si>
  <si>
    <t>other_PE_WG_SS_energy_mechanical</t>
  </si>
  <si>
    <t>other_PP_WG_SS_energy_mechanical</t>
  </si>
  <si>
    <t>other_PS_WG_SS_energy_mechanical</t>
  </si>
  <si>
    <t>other_Oth_WG_SS_energy_mechanical</t>
  </si>
  <si>
    <t>bottle_PET_WG_INC_energy_mechanical</t>
  </si>
  <si>
    <t>bottle_PE_WG_INC_energy_mechanical</t>
  </si>
  <si>
    <t>bottle_PP_WG_INC_energy_mechanical</t>
  </si>
  <si>
    <t>bottle_PS_WG_INC_energy_mechanical</t>
  </si>
  <si>
    <t>bottle_Other_WG_INC_energy_mechanical</t>
  </si>
  <si>
    <t>rigid_PET_WG_INC_energy_mechanical</t>
  </si>
  <si>
    <t>rigid_PE_WG_INC_energy_mechanical</t>
  </si>
  <si>
    <t>rigid_PP_WG_INC_energy_mechanical</t>
  </si>
  <si>
    <t>rigid_PS_WG_INC_energy_mechanical</t>
  </si>
  <si>
    <t>rigid_Other_WG_INC_energy_mechanical</t>
  </si>
  <si>
    <t>soft_PET_WG_INC_energy_mechanical</t>
  </si>
  <si>
    <t>soft_PE_WG_INC_energy_mechanical</t>
  </si>
  <si>
    <t>soft_PP_WG_INC_energy_mechanical</t>
  </si>
  <si>
    <t>soft_PS_WG_INC_energy_mechanical</t>
  </si>
  <si>
    <t>soft_Other_WG_INC_energy_mechanical</t>
  </si>
  <si>
    <t>other_PS_WG_INC_energy_mechanical</t>
  </si>
  <si>
    <t>other_Other_WG_INC_energy_mechanical</t>
  </si>
  <si>
    <t>bottle_PET_SS_COL_energy_mechanical</t>
  </si>
  <si>
    <t>bottle_PE_SS_COL_energy_mechanical</t>
  </si>
  <si>
    <t>bottle_PP_SS_COL_energy_mechanical</t>
  </si>
  <si>
    <t>bottle_PS_SS_COL_energy_mechanical</t>
  </si>
  <si>
    <t>bottle_Oth_SS_COL_energy_mechanical</t>
  </si>
  <si>
    <t>rigid_PET_SS_COL_energy_mechanical</t>
  </si>
  <si>
    <t>rigid_PE_SS_COL_energy_mechanical</t>
  </si>
  <si>
    <t>rigid_PP_SS_COL_energy_mechanical</t>
  </si>
  <si>
    <t>rigid_PS_SS_COL_energy_mechanical</t>
  </si>
  <si>
    <t>rigid_Oth_SS_COL_energy_mechanical</t>
  </si>
  <si>
    <t>soft_PET_SS_COL_energy_mechanical</t>
  </si>
  <si>
    <t>soft_PE_SS_COL_energy_mechanical</t>
  </si>
  <si>
    <t>soft_PP_SS_COL_energy_mechanical</t>
  </si>
  <si>
    <t>soft_PS_SS_COL_energy_mechanical</t>
  </si>
  <si>
    <t>soft_Oth_SS_COL_energy_mechanical</t>
  </si>
  <si>
    <t>bottle_PET_SS_energy_mechanical</t>
  </si>
  <si>
    <t>bottle_PE_SS_energy_mechanical</t>
  </si>
  <si>
    <t>bottle_PP_SS_energy_mechanical</t>
  </si>
  <si>
    <t>bottle_PS_SS_energy_mechanical</t>
  </si>
  <si>
    <t>bottle_Oth_SS_energy_mechanical</t>
  </si>
  <si>
    <t>rigid_PET_SS_energy_mechanical</t>
  </si>
  <si>
    <t>rigid_PE_SS_energy_mechanical</t>
  </si>
  <si>
    <t>rigid_PP_SS_energy_mechanical</t>
  </si>
  <si>
    <t>rigid_PS_SS_energy_mechanical</t>
  </si>
  <si>
    <t>rigid_Oth_SS_energy_mechanical</t>
  </si>
  <si>
    <t>soft_PET_SS_energy_mechanical</t>
  </si>
  <si>
    <t>soft_PE_SS_energy_mechanical</t>
  </si>
  <si>
    <t>soft_PP_SS_energy_mechanical</t>
  </si>
  <si>
    <t>soft_PS_SS_energy_mechanical</t>
  </si>
  <si>
    <t>soft_Oth_SS_energy_mechanical</t>
  </si>
  <si>
    <t>bottle_PET_COL_SOR_energy_mechanical</t>
  </si>
  <si>
    <t>bottle_PE_COL_SOR_energy_mechanical</t>
  </si>
  <si>
    <t>bottle_PP_COL_SOR_energy_mechanical</t>
  </si>
  <si>
    <t>bottle_PS_COL_SOR_energy_mechanical</t>
  </si>
  <si>
    <t>bottle_Oth_COL_SOR_energy_mechanical</t>
  </si>
  <si>
    <t>rigid_PET_COL_SOR_energy_mechanical</t>
  </si>
  <si>
    <t>rigid_PE_COL_SOR_energy_mechanical</t>
  </si>
  <si>
    <t>rigid_PP_COL_SOR_energy_mechanical</t>
  </si>
  <si>
    <t>rigid_PS_COL_SOR_energy_mechanical</t>
  </si>
  <si>
    <t>rigid_Oth_COL_SOR_energy_mechanical</t>
  </si>
  <si>
    <t>soft_PET_COL_SOR_energy_mechanical</t>
  </si>
  <si>
    <t>soft_PE_COL_SOR_energy_mechanical</t>
  </si>
  <si>
    <t>soft_PP_COL_SOR_energy_mechanical</t>
  </si>
  <si>
    <t>soft_PS_COL_SOR_energy_mechanical</t>
  </si>
  <si>
    <t>soft_Oth_COL_SOR_energy_mechanical</t>
  </si>
  <si>
    <t>bottle_PET_COL_INC_energy_mechanical</t>
  </si>
  <si>
    <t>bottle_PE_COL_INC_energy_mechanical</t>
  </si>
  <si>
    <t>bottle_PP_COL_INC_energy_mechanical</t>
  </si>
  <si>
    <t>bottle_PS_COL_INC_energy_mechanical</t>
  </si>
  <si>
    <t>bottle_Oth_COL_INC_energy_mechanical</t>
  </si>
  <si>
    <t>rigid_PET_COL_INC_energy_mechanical</t>
  </si>
  <si>
    <t>rigid_PE_COL_INC_energy_mechanical</t>
  </si>
  <si>
    <t>rigid_PP_COL_INC_energy_mechanical</t>
  </si>
  <si>
    <t>rigid_PS_COL_INC_energy_mechanical</t>
  </si>
  <si>
    <t>rigid_Oth_COL_INC_energy_mechanical</t>
  </si>
  <si>
    <t>soft_PET_COL_INC_energy_mechanical</t>
  </si>
  <si>
    <t>soft_PE_COL_INC_energy_mechanical</t>
  </si>
  <si>
    <t>soft_PP_COL_INC_energy_mechanical</t>
  </si>
  <si>
    <t>soft_PS_COL_INC_energy_mechanical</t>
  </si>
  <si>
    <t>soft_Oth_COL_INC_energy_mechanical</t>
  </si>
  <si>
    <t>bottle_PET_SOR_RE_energy_mechanical</t>
  </si>
  <si>
    <t>bottle_PE_SOR_RE_energy_mechanical</t>
  </si>
  <si>
    <t>bottle_PP_SOR_RE_energy_mechanical</t>
  </si>
  <si>
    <t>bottle_PS_SOR_RE_energy_mechanical</t>
  </si>
  <si>
    <t>bottle_Oth_SOR_RE_energy_mechanical</t>
  </si>
  <si>
    <t>rigid_PET_SOR_RE_energy_mechanical</t>
  </si>
  <si>
    <t>rigid_PE_SOR_RE_energy_mechanical</t>
  </si>
  <si>
    <t>rigid_PP_SOR_RE_energy_mechanical</t>
  </si>
  <si>
    <t>rigid_PS_SOR_RE_energy_mechanical</t>
  </si>
  <si>
    <t>rigid_Oth_SOR_RE_energy_mechanical</t>
  </si>
  <si>
    <t>soft_PET_SOR_RE_energy_mechanical</t>
  </si>
  <si>
    <t>soft_PE_SOR_RE_energy_mechanical</t>
  </si>
  <si>
    <t>soft_PP_SOR_RE_energy_mechanical</t>
  </si>
  <si>
    <t>soft_PS_SOR_RE_energy_mechanical</t>
  </si>
  <si>
    <t>bottle_PET_SOR_INC_energy_mechanical</t>
  </si>
  <si>
    <t>bottle_PE_SOR_INC_energy_mechanical</t>
  </si>
  <si>
    <t>bottle_PP_SOR_INC_energy_mechanical</t>
  </si>
  <si>
    <t>bottle_PS_SOR_INC_energy_mechanical</t>
  </si>
  <si>
    <t>bottle_Oth_SOR_INC_energy_mechanical</t>
  </si>
  <si>
    <t>rigid_PET_SOR_INC_energy_mechanical</t>
  </si>
  <si>
    <t>rigid_PE_SOR_INC_energy_mechanical</t>
  </si>
  <si>
    <t>rigid_PP_SOR_INC_energy_mechanical</t>
  </si>
  <si>
    <t>rigid_PS_SOR_INC_energy_mechanical</t>
  </si>
  <si>
    <t>rigid_Oth_SOR_INC_energy_mechanical</t>
  </si>
  <si>
    <t>soft_PET_SOR_INC_energy_mechanical</t>
  </si>
  <si>
    <t>soft_PE_SOR_INC_energy_mechanical</t>
  </si>
  <si>
    <t>soft_PP_SOR_INC_energy_mechanical</t>
  </si>
  <si>
    <t>soft_PS_SOR_INC_energy_mechanical</t>
  </si>
  <si>
    <t>soft_Oth_SOR_INC_energy_mechanical</t>
  </si>
  <si>
    <t>Total_bottle_SOR_INC_energy_mechanical</t>
  </si>
  <si>
    <t>Total_rigid_SOR_INC_energy_mechanical</t>
  </si>
  <si>
    <t>Total_soft_SOR_INC_energy_mechanical</t>
  </si>
  <si>
    <t>Total_SOR_INC_energy_mechanical</t>
  </si>
  <si>
    <t>Total_SOR_RE_energy_mechanical</t>
  </si>
  <si>
    <t>Total_bottle_SOR_RE_energy_mechanical</t>
  </si>
  <si>
    <t>Total_rigid_SOR_RE_energy_mechanical</t>
  </si>
  <si>
    <t>Total_soft_SOR_RE_energy_mechanical</t>
  </si>
  <si>
    <t>bottle_PET_RE_NEW_energy_mechanical</t>
  </si>
  <si>
    <t>bottle_PE_RE_NEW_energy_mechanical</t>
  </si>
  <si>
    <t>bottle_PP_RE_NEW_energy_mechanical</t>
  </si>
  <si>
    <t>bottle_PS_RE_NEW_energy_mechanical</t>
  </si>
  <si>
    <t>bottle_Oth_RE_NEW_energy_mechanical</t>
  </si>
  <si>
    <t>rigid_PET_RE_NEW_energy_mechanical</t>
  </si>
  <si>
    <t>rigid_PE_RE_NEW_energy_mechanical</t>
  </si>
  <si>
    <t>rigid_PP_RE_NEW_energy_mechanical</t>
  </si>
  <si>
    <t>rigid_PS_RE_NEW_energy_mechanical</t>
  </si>
  <si>
    <t>rigid_Oth_RE_NEW_energy_mechanical</t>
  </si>
  <si>
    <t>soft_PET_RE_NEW_energy_mechanical</t>
  </si>
  <si>
    <t>soft_PE_RE_NEW_energy_mechanical</t>
  </si>
  <si>
    <t>soft_PP_RE_NEW_energy_mechanical</t>
  </si>
  <si>
    <t>soft_PS_RE_NEW_energy_mechanical</t>
  </si>
  <si>
    <t>soft_Oth_RE_NEW_energy_mechanical</t>
  </si>
  <si>
    <t>Total_bottle_RE_new_energy_mechanical</t>
  </si>
  <si>
    <t>Total_rigid_RE_new_energy_mechanical</t>
  </si>
  <si>
    <t>Total_soft_RE_new_energy_mechanical</t>
  </si>
  <si>
    <t>Total_RE_new_energy_mechanical</t>
  </si>
  <si>
    <t>Total_WG_INC_bottle_energy_mechanical</t>
  </si>
  <si>
    <t>Total_WG_SS_bottle_energy_mechanical</t>
  </si>
  <si>
    <t>Total_WG_SS_rigid_energy_mechanical</t>
  </si>
  <si>
    <t>Total_WG_SS_soft_energy_mechanical</t>
  </si>
  <si>
    <t>Total_WG_SS_other_energy_mechanical</t>
  </si>
  <si>
    <t>Total_WG_SS_energy_mechanical</t>
  </si>
  <si>
    <t>Total_WG_INC_rigid_energy_mechanical</t>
  </si>
  <si>
    <t>Total_WG_INC_soft_energy_mechanical</t>
  </si>
  <si>
    <t>Total_WG_INC_other_energy_mechanical</t>
  </si>
  <si>
    <t>Total_WG_INC_energy_mechanical</t>
  </si>
  <si>
    <t>Total_bottle_COL_SOR_energy_mechanical</t>
  </si>
  <si>
    <t>Total_rigid_COL_SOR_energy_mechanical</t>
  </si>
  <si>
    <t>Total_soft_COL_SOR_energy_mechanical</t>
  </si>
  <si>
    <t>Total_COL_SOR_energy_mechanical</t>
  </si>
  <si>
    <t>Total_bottle_COL_INC_energy_mechanical</t>
  </si>
  <si>
    <t>Total_rigid_COL_INC_energy_mechanical</t>
  </si>
  <si>
    <t>Total_soft_COL_INC_energy_mechanical</t>
  </si>
  <si>
    <t>Total_COL_INC_energy_mechanical</t>
  </si>
  <si>
    <t>Total_bottle_RE_INC_energy_mechanical</t>
  </si>
  <si>
    <t>Total_rigid_RE_INC_energy_mechanical</t>
  </si>
  <si>
    <t>Total_soft_RE_INC_energy_mechanical</t>
  </si>
  <si>
    <t>Total_RE_INC_energy_mechanical</t>
  </si>
  <si>
    <t>bottle_PET_RE_INC_energy_mechanical</t>
  </si>
  <si>
    <t>bottle_PE_RE_INC_energy_mechanical</t>
  </si>
  <si>
    <t>bottle_PP_RE_INC_energy_mechanical</t>
  </si>
  <si>
    <t>bottle_PS_RE_INC_energy_mechanical</t>
  </si>
  <si>
    <t>bottle_Oth_RE_INC_energy_mechanical</t>
  </si>
  <si>
    <t>rigid_PET_RE_INC_energy_mechanical</t>
  </si>
  <si>
    <t>rigid_PE_RE_INC_energy_mechanical</t>
  </si>
  <si>
    <t>rigid_PP_RE_INC_energy_mechanical</t>
  </si>
  <si>
    <t>rigid_PS_RE_INC_energy_mechanical</t>
  </si>
  <si>
    <t>rigid_Oth_RE_INC_energy_mechanical</t>
  </si>
  <si>
    <t>soft_PET_RE_INC_energy_mechanical</t>
  </si>
  <si>
    <t>soft_PE_RE_INC_energy_mechanical</t>
  </si>
  <si>
    <t>soft_PP_RE_INC_energy_mechanical</t>
  </si>
  <si>
    <t>soft_Oth_RE_INC_energy_mechanical</t>
  </si>
  <si>
    <t>soft_PS_RE_INC_energy_mechanical</t>
  </si>
  <si>
    <t>bottle_PET_tot_INC_energy_mechanical</t>
  </si>
  <si>
    <t>bottle_PE_tot_INC_energy_mechanical</t>
  </si>
  <si>
    <t>bottle_PP_tot_INC_energy_mechanical</t>
  </si>
  <si>
    <t>bottle_PS_tot_INC_energy_mechanical</t>
  </si>
  <si>
    <t>bottle_oth_tot_INC_energy_mechanical</t>
  </si>
  <si>
    <t>rigid_PET_tot_INC_energy_mechanical</t>
  </si>
  <si>
    <t>rigid_PE_tot_INC_energy_mechanical</t>
  </si>
  <si>
    <t>rigid_PP_tot_INC_energy_mechanical</t>
  </si>
  <si>
    <t>rigid_PS_tot_INC_energy_mechanical</t>
  </si>
  <si>
    <t>rigid_Oth_tot_INC_energy_mechanical</t>
  </si>
  <si>
    <t>soft_PET_tot_INC_energy_mechanical</t>
  </si>
  <si>
    <t>soft_PE_tot_INC_energy_mechanical</t>
  </si>
  <si>
    <t>soft_PP_tot_INC_energy_mechanical</t>
  </si>
  <si>
    <t>soft_PS_tot_INC_energy_mechanical</t>
  </si>
  <si>
    <t>soft_Oth_tot_INC_energy_mechanical</t>
  </si>
  <si>
    <t>electricity_bottle_INC_energy_mechanical</t>
  </si>
  <si>
    <t>electricity_rigid_INC_energy_mechanical</t>
  </si>
  <si>
    <t>electricity_soft_INC_energy_mechanical</t>
  </si>
  <si>
    <t>electricity_other_INC_energy_mechanical</t>
  </si>
  <si>
    <t>electricity_tot_INC_energy_mechanical</t>
  </si>
  <si>
    <t>heat_bottle_INC_energy_mechanical</t>
  </si>
  <si>
    <t>heat_rigid_INC_energy_mechanical</t>
  </si>
  <si>
    <t>heat_soft_INC_energy_mechanical</t>
  </si>
  <si>
    <t>heat_other_INC_energy_mechanical</t>
  </si>
  <si>
    <t>heat_tot_INC_energy_mechanical</t>
  </si>
  <si>
    <t>Sum of all other plastic going to source-separation (SS)</t>
  </si>
  <si>
    <t>Sum of all other plastic going to incineration (INC)</t>
  </si>
  <si>
    <t xml:space="preserve"> </t>
  </si>
  <si>
    <t xml:space="preserve">  </t>
  </si>
  <si>
    <t>sum (bottle_PET_(WG, SS, SOR, RE)_INC_mass_mechanical)</t>
  </si>
  <si>
    <t>sum (bottle_PE_(WG, SS, SOR, RE)_INC_mass_mechanical)</t>
  </si>
  <si>
    <t>sum (bottle_PP_(WG, SS, SOR, RE)_INC_mass_mechanical)</t>
  </si>
  <si>
    <t>sum (bottle_PS_(WG, SS, SOR, RE)_INC_mass_mechanical)</t>
  </si>
  <si>
    <t>sum (bottle_Oth_(WG, SS, SOR, RE)_INC_mass_mechanical)</t>
  </si>
  <si>
    <t>sum (rigid_PET_(WG, SS, SOR, RE)_INC_mass_mechanical)</t>
  </si>
  <si>
    <t>sum (rigid_PE_(WG, SS, SOR, RE)_INC_mass_mechanical)</t>
  </si>
  <si>
    <t>sum (rigid_PP_(WG, SS, SOR, RE)_INC_mass_mechanical)</t>
  </si>
  <si>
    <t>sum (rigid_PS_(WG, SS, SOR, RE)_INC_mass_mechanical)</t>
  </si>
  <si>
    <t>sum (rigid_Oth_(WG, SS, SOR, RE)_INC_mass_mechanical)</t>
  </si>
  <si>
    <t>sum (soft_PET_(WG, SS, SOR, RE)_INC_mass_mechanical)</t>
  </si>
  <si>
    <t>sum (soft_PE_(WG, SS, SOR, RE)_INC_mass_mechanical)</t>
  </si>
  <si>
    <t>sum (soft_PP_(WG, SS, SOR, RE)_INC_mass_mechanical)</t>
  </si>
  <si>
    <t>sum (soft_PS_(WG, SS, SOR, RE)_INC_mass_mechanical)</t>
  </si>
  <si>
    <t>sum (soft_Oth_(WG, SS, SOR, RE)_INC_mass_mechanical)</t>
  </si>
  <si>
    <t>sum (other_PET_(WG, SS, SOR, RE)_INC_mass_mechanical)</t>
  </si>
  <si>
    <t>sum (other_PE_(WG, SS, SOR, RE)_INC_mass_mechanical)</t>
  </si>
  <si>
    <t>sum (other_PP_(WG, SS, SOR, RE)_INC_mass_mechanical)</t>
  </si>
  <si>
    <t>sum (other_PS_(WG, SS, SOR, RE)_INC_mass_mechanical)</t>
  </si>
  <si>
    <t>sum (other_Oth_(WG, SS, SOR, RE)_INC_mass_mechanical)</t>
  </si>
  <si>
    <t>ash_bottle_mass * bottle_PET_INC_tot_mass_mechanical</t>
  </si>
  <si>
    <t>ash_bottle_mass * bottle_PE_INC_tot_mass_mechanical</t>
  </si>
  <si>
    <t>ash_bottle_mass * bottle_PP_INC_tot_mass_mechanical</t>
  </si>
  <si>
    <t>ash_bottle_mass * bottle_PS_INC_tot_mass_mechanical</t>
  </si>
  <si>
    <t>ash_bottle_mass * bottle_Oth_INC_tot_mass_mechanical</t>
  </si>
  <si>
    <t>ash_rigid_mass * rigid_PET_INC_tot_mass_mechanical</t>
  </si>
  <si>
    <t>ash_rigid_mass * rigid_PE_INC_tot_mass_mechanical</t>
  </si>
  <si>
    <t>ash_rigid_mass * rigid_PP_INC_tot_mass_mechanical</t>
  </si>
  <si>
    <t>ash_rigid_mass * rigid_PS_INC_tot_mass_mechanical</t>
  </si>
  <si>
    <t>ash_rigid_mass * rigid_Oth_INC_tot_mass_mechanical</t>
  </si>
  <si>
    <t>ash_soft_mass * soft_PET_INC_tot_mass_mechanical</t>
  </si>
  <si>
    <t>ash_soft_mass * soft_PE_INC_tot_mass_mechanical</t>
  </si>
  <si>
    <t>ash_soft_mass * soft_PP_INC_tot_mass_mechanical</t>
  </si>
  <si>
    <t>ash_soft_mass * soft_PS_INC_tot_mass_mechanical</t>
  </si>
  <si>
    <t>ash_soft_mass * soft_Oth_INC_tot_mass_mechanical</t>
  </si>
  <si>
    <t>ash_other_mass * other_PET_INC_tot_mass_mechanical</t>
  </si>
  <si>
    <t>ash_other_mass * other_PE_INC_tot_mass_mechanical</t>
  </si>
  <si>
    <t>ash_other_mass * other_PP_INC_tot_mass_mechanical</t>
  </si>
  <si>
    <t>ash_other_mass * other_PS_INC_tot_mass_mechanical</t>
  </si>
  <si>
    <t>ash_other_mass * other_Oth_INC_tot_mass_mechanical</t>
  </si>
  <si>
    <t>bottle_PET_INC_tot_mass_mechanical - bottle_PET_INC_ASH_mass_mechanical</t>
  </si>
  <si>
    <t>bottle_PE_INC_tot_mass_mechanical - bottle_PE_INC_ASH_mass_mechanical</t>
  </si>
  <si>
    <t>bottle_PP_INC_tot_mass_mechanical - bottle_PP_INC_ASH_mass_mechanical</t>
  </si>
  <si>
    <t>bottle_PS_INC_tot_mass_mechanical - bottle_PS_INC_ASH_mass_mechanical</t>
  </si>
  <si>
    <t>bottle_Oth_INC_tot_mass_mechanical - bottle_Oth_INC_ASH_mass_mechanical</t>
  </si>
  <si>
    <t>rigid_PET_INC_tot_mass_mechanical - rigid_PET_INC_ASH_mass_mechanical</t>
  </si>
  <si>
    <t>rigid_PE_INC_tot_mass_mechanical - rigid_PE_INC_ASH_mass_mechanical</t>
  </si>
  <si>
    <t>rigid_PP_INC_tot_mass_mechanical - rigid_PP_INC_ASH_mass_mechanical</t>
  </si>
  <si>
    <t>rigid_PS_INC_tot_mass_mechanical - rigid_PS_INC_ASH_mass_mechanical</t>
  </si>
  <si>
    <t>rigid_Oth_INC_tot_mass_mechanical - rigid_Oth_INC_ASH_mass_mechanical</t>
  </si>
  <si>
    <t>soft_PET_INC_tot_mass_mechanical - soft_PET_INC_ASH_mass_mechanical</t>
  </si>
  <si>
    <t>soft_PE_INC_tot_mass_mechanical - soft_PE_INC_ASH_mass_mechanical</t>
  </si>
  <si>
    <t>soft_PP_INC_tot_mass_mechanical - soft_PP_INC_ASH_mass_mechanical</t>
  </si>
  <si>
    <t>soft_PS_INC_tot_mass_mechanical - soft_PS_INC_ASH_mass_mechanical</t>
  </si>
  <si>
    <t>soft_Oth_INC_tot_mass_mechanical - soft_Oth_INC_ASH_mass_mechanical</t>
  </si>
  <si>
    <t>other_PET_INC_tot_mass_mechanical - other_PET_INC_ASH_mass_mechanical</t>
  </si>
  <si>
    <t>other_PE_INC_tot_mass_mechanical - other_PE_INC_ASH_mass_mechanical</t>
  </si>
  <si>
    <t>other_PP_INC_tot_mass_mechanical - other_PP_INC_ASH_mass_mechanical</t>
  </si>
  <si>
    <t>other_PS_INC_tot_mass_mechanical - other_PS_INC_ASH_mass_mechanical</t>
  </si>
  <si>
    <t>other_Oth_INC_tot_mass_mechanical - other_Oth_INC_ASH_mass_mechanical</t>
  </si>
  <si>
    <t>Amount of energy in bottles that has been reprocessed for use in new products (NEW)</t>
  </si>
  <si>
    <t>Amount of energy inrigid plastic that has been reprocessed for use in new products (NEW)</t>
  </si>
  <si>
    <t>Amount of energy in soft plastic that has been reprocessed for use in new products (NEW)</t>
  </si>
  <si>
    <t>Amount of energy in bottles that has been sent to incineration (INC)</t>
  </si>
  <si>
    <t>Amount of energy in rigid plastic that has been sent to incineration (INC)</t>
  </si>
  <si>
    <t>Amount of energy in soft plastic that has been sent to incineration (INC)</t>
  </si>
  <si>
    <t>Amount of energy in reprocessed bottles that has been sent to incineration (INC)</t>
  </si>
  <si>
    <t>Amount of energy in reprocessed rigid plastic that has been sent to incineration (INC)</t>
  </si>
  <si>
    <t>Amount of energy in reprocessed soft plastic that has been sent to incineration (INC)</t>
  </si>
  <si>
    <t>Amount of energy in bottles that has been sorted for reprocessing (RE)</t>
  </si>
  <si>
    <t>Amount of energy in rigid plastic that has been sorted for reprocessing (RE)</t>
  </si>
  <si>
    <t>Amount of energy in soft plastic that has been sorted for reprocessing (RE)</t>
  </si>
  <si>
    <t>Amount of energy in all plastic that has been sorted for reprocessing (RE)</t>
  </si>
  <si>
    <t>Amount of energy in all plastic that has been reprocessed for use in new products (NEW)</t>
  </si>
  <si>
    <t>Amount of energy in all reprocessed plastic that has been sent to incineration (INC)</t>
  </si>
  <si>
    <t>Amount of energy in sorted bottles that has been sent to incineration (INC)</t>
  </si>
  <si>
    <t>Amount of energy in sorted rigid plastic that has been sent to incineration (INC)</t>
  </si>
  <si>
    <t>Amount of energy in sorted soft plastic that has been sent to incineration (INC)</t>
  </si>
  <si>
    <t>Amount of energy in bottles that has been collected for sorting (SOR)</t>
  </si>
  <si>
    <t>Amount of energy in rigid plastic that has been collected for sorting (SOR)</t>
  </si>
  <si>
    <t>Amount of energy in soft plastic that has been collected for sorting (SOR)</t>
  </si>
  <si>
    <t>Amount of energy in all plastic that has been collected for sorting (SOR)</t>
  </si>
  <si>
    <t>Amount of energy in all plastic that has been exported (EXP) (assumed sent to sorting SOR)</t>
  </si>
  <si>
    <t>Amount of energy in bottles that has been source-separated for collection (COL)</t>
  </si>
  <si>
    <t>Amount of energy in rigid plastic that has been source-separated for collection (COL)</t>
  </si>
  <si>
    <t>Amount of energy in all plastic that has been source-separated for collection (COL)</t>
  </si>
  <si>
    <t>Amount of energy in all plastic that has been sent to incineration (INC)</t>
  </si>
  <si>
    <t>Amount of energy in all sorted plastic that has been sent to incineration (INC)</t>
  </si>
  <si>
    <t>Amount of energy in bottles going to source-separation (SS)</t>
  </si>
  <si>
    <t>Amount of energy in rigid plastic going to source-separation (SS)</t>
  </si>
  <si>
    <t>Amount of energy in soft plastic going to source-separation (SS)</t>
  </si>
  <si>
    <t>Amount of energy in other plastic going to source-separation (SS)</t>
  </si>
  <si>
    <t>Amount of energy in all plastic going to source-separation (SS)</t>
  </si>
  <si>
    <t>Amount of energy in other plastic that has been sent to incineration (INC)</t>
  </si>
  <si>
    <t>Amount of carbon in bottles that has been emitted to the air (LOSS)</t>
  </si>
  <si>
    <t>Amount of carbon in rigid plastic that has been emitted to the air (LOSS)</t>
  </si>
  <si>
    <t>Amount of carbon in soft plastic that has been emitted to the air (LOSS)</t>
  </si>
  <si>
    <t>Amount of carbon in other plastic that has been emitted to the air (LOSS)</t>
  </si>
  <si>
    <t>Amount of carbon in all plastic that has been emitted to the air (LOSS)</t>
  </si>
  <si>
    <t>Amount of carbon in bottles that has been compressed (CCS)</t>
  </si>
  <si>
    <t>Amount of carbon in rigid plastic that has been compressed (CCS)</t>
  </si>
  <si>
    <t>Amount of carbon in soft plastic that has been compressed (CCS)</t>
  </si>
  <si>
    <t>Amount of carbon in other plastic that has been compressed (CCS)</t>
  </si>
  <si>
    <t>Amount of carbon in bottles that has been incinerated to ash (ASH)</t>
  </si>
  <si>
    <t>Amount of carbon in rigid plastic that has been incinerated to ash (ASH)</t>
  </si>
  <si>
    <t>Amount of carbon in soft plastic that has been incinerated to ash (ASH)</t>
  </si>
  <si>
    <t>Amount of carbon in other plastic that has been incinerated to ash (ASH)</t>
  </si>
  <si>
    <t>Amount of carbon in all plastic that has been incinerated to ash (ASH)</t>
  </si>
  <si>
    <t>Amount of carbon in bottles that has been emitted to the air (AIR)</t>
  </si>
  <si>
    <t>Amount of carbon in rigid plastic that has been emitted to the air (AIR)</t>
  </si>
  <si>
    <t>Amount of carbon in soft plastic that has been emitted to the air (AIR)</t>
  </si>
  <si>
    <t>Amount of carbon in other plastic that has been emitted to the air (AIR)</t>
  </si>
  <si>
    <t>Amount of carbon in all plastic that has been emitted to the air (AIR)</t>
  </si>
  <si>
    <t>Amount of carbon in bottles that has been sent to incineration (INC)</t>
  </si>
  <si>
    <t>Amount of carbon in rigid plastic that has been sent to incineration (INC)</t>
  </si>
  <si>
    <t>Amount of carbon in soft plastic that has been sent to incineration (INC)</t>
  </si>
  <si>
    <t>Amount of carbon in bottles that has been reprocessed for use in new products (NEW)</t>
  </si>
  <si>
    <t>Amount of carbon in rigid plastic that has been reprocessed for use in new products (NEW)</t>
  </si>
  <si>
    <t>Amount of carbon in soft plastic that has been reprocessed for use in new products (NEW)</t>
  </si>
  <si>
    <t>Amount of carbon in all plastic that has been reprocessed for use in new products (NEW)</t>
  </si>
  <si>
    <t>Amount of energy in soft plastic that has been source-separated for collection (COL)</t>
  </si>
  <si>
    <t>Amount of energy in bottles that has been exported (EXP) (assumed sent to sorting SOR)</t>
  </si>
  <si>
    <t>Amount of energy in rigid plastic that has been exported (EXP) (assumed sent to sorting SOR)</t>
  </si>
  <si>
    <t>Amount of energy in soft plastic that has been exported (EXP) (assumed sent to sorting SOR)</t>
  </si>
  <si>
    <t>Amount of carbon in bottles going to source-separation (SS)</t>
  </si>
  <si>
    <t>Amount of carbon in rigid plastic going to source-separation (SS)</t>
  </si>
  <si>
    <t>Amount of carbon in soft plastic going to source-separation (SS)</t>
  </si>
  <si>
    <t>Amount of carbon in other plastic going to source-separation (SS)</t>
  </si>
  <si>
    <t>Amount of carbon in other plastic that has been sent to incineration (INC)</t>
  </si>
  <si>
    <t>Amount of carbon in the subfractions going to source-separation (SS)</t>
  </si>
  <si>
    <t>Amount of carbon in bottles that has been source-separated for collection (COL)</t>
  </si>
  <si>
    <t>Amount of carbon in rigid plastic that has been source-separated for collection (COL)</t>
  </si>
  <si>
    <t>Amount of carbon in soft plastic that has been source-separated for collection (COL)</t>
  </si>
  <si>
    <t>Amount of carbon in bottles that has been collected for sorting (SOR)</t>
  </si>
  <si>
    <t>Amount of carbon in bottles that has been exported (EXP) (assumed sent to sorting SOR)</t>
  </si>
  <si>
    <t>Amount of carbon in rigid plastic that has been collected for sorting (SOR)</t>
  </si>
  <si>
    <t>Amount of carbon in rigid plastic that has been exported (EXP) (assumed sent to sorting SOR)</t>
  </si>
  <si>
    <t>Amount of carbon in soft plastic that has been collected for sorting (SOR)</t>
  </si>
  <si>
    <t>Amount of carbon in soft plastic that has been exported (EXP) (assumed sent to sorting SOR)</t>
  </si>
  <si>
    <t>Amount of carbon in bottles that has been sorted for reprocessing (RE)</t>
  </si>
  <si>
    <t>Amount of carbon in rigid plastic that has been sorted for reprocessing (RE)</t>
  </si>
  <si>
    <t>Amount of carbon in soft plastic that has been sorted for reprocessing (RE)</t>
  </si>
  <si>
    <t>Amount of carbon in all plastic that has been collected for sorting (SOR)</t>
  </si>
  <si>
    <t>Amount of carbon in all plastic that has been exported (EXP) (assumed sent to sorting SOR)</t>
  </si>
  <si>
    <t>Amount of carbon in all plastic that has been sent to incineration (INC)</t>
  </si>
  <si>
    <t>Amount of carbon in all plastic that has been sorted for reprocessing (RE)</t>
  </si>
  <si>
    <t>Amount of carbon in all plastic that has been source-separated for collection (COL)</t>
  </si>
  <si>
    <t>Amount of carbon in all plastic going to source-separation (SS)</t>
  </si>
  <si>
    <t>Amount of carbon in all plastic going to incineration (INC)</t>
  </si>
  <si>
    <t>Amount of all bottles going to source-separation (SS)</t>
  </si>
  <si>
    <t>Amount of all rigid plastic going to source-separation (SS)</t>
  </si>
  <si>
    <t>Amount of all soft plastic going to source-separation (SS)</t>
  </si>
  <si>
    <t>Amount of bottles going to source-separation (SS)</t>
  </si>
  <si>
    <t>Amount of bottles going to incineration (INC)</t>
  </si>
  <si>
    <t>Amount of rigid plastic going to source-separation (SS)</t>
  </si>
  <si>
    <t>Amount of rigid plastic going to incineration (INC)</t>
  </si>
  <si>
    <t>Amount of soft plastic going to source-separation (SS)</t>
  </si>
  <si>
    <t>Amount of soft plastic going to incineration (INC)</t>
  </si>
  <si>
    <t>Amount of bottles that have been source-separated for collection (COL)</t>
  </si>
  <si>
    <t>Amount of bottles that have been source-separated for incineration (INC)</t>
  </si>
  <si>
    <t>Amount of rigid plastic that has been source-separated for collection (COL)</t>
  </si>
  <si>
    <t>Amount of rigid plastic that has been source-separated for incineration (INC)</t>
  </si>
  <si>
    <t>Amount of soft plastic that has been source-separated for collection (COL)</t>
  </si>
  <si>
    <t>Amount of soft plastic that has been source-separated for incineration (INC)</t>
  </si>
  <si>
    <t>Amount of plastic that has been source-separated for collection (COL)</t>
  </si>
  <si>
    <t>Amount of plastic that has been source-separated for incineration (INC)</t>
  </si>
  <si>
    <t>Amount of bottles that have been collected for sorting (SOR)</t>
  </si>
  <si>
    <t>Amount of bottles that have been collected for export (assumed going to SOR)</t>
  </si>
  <si>
    <t>Amount of rigid plastic that has been collected for sorting (SOR)</t>
  </si>
  <si>
    <t>Amount of rigid plastic that has been collected for export (assumed going to SOR)</t>
  </si>
  <si>
    <t>Amount of soft plastic that has been collected for sorting (SOR)</t>
  </si>
  <si>
    <t>Amount of soft plastic that has been collected for export (assumed going to SOR)</t>
  </si>
  <si>
    <t>Amount of plastic that has been collected for sorting (SOR)</t>
  </si>
  <si>
    <t>Amount of plastic that has been collected for export (assumed going to SOR)</t>
  </si>
  <si>
    <t>Amount of sorted bottles that are sent to reprocessing (RE)</t>
  </si>
  <si>
    <t>Amount of sorted bottles that are sent to incineration (INC)</t>
  </si>
  <si>
    <t>Amount of sorted rigid plastic that is sent to reprocessing (RE)</t>
  </si>
  <si>
    <t>Amount of sorted rigid plastic that is sent to incineration (INC)</t>
  </si>
  <si>
    <t>Amount of sorted soft plastic that is sent to reprocessing (RE)</t>
  </si>
  <si>
    <t>Amount of sorted soft plastic that is sent to incineration (INC)</t>
  </si>
  <si>
    <t>Amount of sorted plastic that is sent to reprocessing (RE)</t>
  </si>
  <si>
    <t>Amount of sorted plastic that is sent to incineration (INC)</t>
  </si>
  <si>
    <t>Amount of bottles that have been reprocessed for use in new products (NEW)</t>
  </si>
  <si>
    <t>Amount of reprocessed bottles that are sent to incineration (INC)</t>
  </si>
  <si>
    <t>Amount of rigid plastic that has been reprocessed for use in new products (NEW)</t>
  </si>
  <si>
    <t>Amount of reprocessed rigid plastic that is sent to incineration (INC)</t>
  </si>
  <si>
    <t>Amount of soft plastic that has been reprocessed for use in new products (NEW)</t>
  </si>
  <si>
    <t>Amount of reprocessed soft plastic that is sent to incineration (INC)</t>
  </si>
  <si>
    <t>Amount of plastic that has been reprocessed for use in new products (NEW)</t>
  </si>
  <si>
    <t>Amount of reprocessed plastic that is sent to incineration (INC)</t>
  </si>
  <si>
    <t>Amount of compressed CO2 from incinerating bottles (CSS)</t>
  </si>
  <si>
    <t>Amount of compressed CO2 from incinerating rigid plastic (CSS)</t>
  </si>
  <si>
    <t>Amount of compressed CO2 from incinerating soft plastic (CSS)</t>
  </si>
  <si>
    <t>Amount of compressed CO2 from incinerating other plastic (CSS)</t>
  </si>
  <si>
    <t>Amount of compressed CO2 from incinerating plastic (CSS)</t>
  </si>
  <si>
    <t>Amount of bottles that have been incinerated to ash (ASH)</t>
  </si>
  <si>
    <t>Amount of rigid plastic that has been incinerated to ash (ASH)</t>
  </si>
  <si>
    <t>Amount of soft plastic that has been incinerated to ash (ASH)</t>
  </si>
  <si>
    <t>Amount of non recyclable and other plastic that has been incinerated to ash (ASH)</t>
  </si>
  <si>
    <t>Amount of plastic that has been incinerated to ash (ASH)</t>
  </si>
  <si>
    <t>Amount of bottles that have been incinerated to flue gas (AIR)</t>
  </si>
  <si>
    <t>Amount of rigid plastic that has been incinerated to flue gas (AIR)</t>
  </si>
  <si>
    <t>Amount of soft plastic that has been incinerated to flue gas (AIR)</t>
  </si>
  <si>
    <t>Amount of non recyclable and other plastic that has been incinerated to flue gas (AIR)</t>
  </si>
  <si>
    <t>Amount of plastic that has been incinerated to flue gas (AIR)</t>
  </si>
  <si>
    <t>bottle_PET_WG_SS_mass_pyrolysis</t>
  </si>
  <si>
    <t>bottle_PET_WG_INC_mass_pyrolysis</t>
  </si>
  <si>
    <t>bottle_PE_WG_SS_mass_pyrolysis</t>
  </si>
  <si>
    <t>bottle_PE_WG_INC_mass_pyrolysis</t>
  </si>
  <si>
    <t>bottle_PP_WG_SS_mass_pyrolysis</t>
  </si>
  <si>
    <t>bottle_PP_WG_INC_mass_pyrolysis</t>
  </si>
  <si>
    <t>bottle_PS_WG_SS_mass_pyrolysis</t>
  </si>
  <si>
    <t>bottle_PS_WG_INC_mass_pyrolysis</t>
  </si>
  <si>
    <t>bottle_Oth_WG_SS_mass_pyrolysis</t>
  </si>
  <si>
    <t>bottle_Oth_WG_INC_mass_pyrolysis</t>
  </si>
  <si>
    <t>rigid_PET_WG_SS_mass_pyrolysis</t>
  </si>
  <si>
    <t>rigid_PET_WG_INC_mass_pyrolysis</t>
  </si>
  <si>
    <t>rigid_PE_WG_SS_mass_pyrolysis</t>
  </si>
  <si>
    <t>rigid_PE_WG_INC_mass_pyrolysis</t>
  </si>
  <si>
    <t>rigid_PP_WG_SS_mass_pyrolysis</t>
  </si>
  <si>
    <t>rigid_PP_WG_INC_mass_pyrolysis</t>
  </si>
  <si>
    <t>rigid_PS_WG_SS_mass_pyrolysis</t>
  </si>
  <si>
    <t>rigid_PS_WG_INC_mass_pyrolysis</t>
  </si>
  <si>
    <t>rigid_Oth_WG_SS_mass_pyrolysis</t>
  </si>
  <si>
    <t>rigid_Oth_WG_INC_mass_pyrolysis</t>
  </si>
  <si>
    <t>soft_PET_WG_SS_mass_pyrolysis</t>
  </si>
  <si>
    <t>soft_PET_WG_INC_mass_pyrolysis</t>
  </si>
  <si>
    <t>soft_PE_WG_SS_mass_pyrolysis</t>
  </si>
  <si>
    <t>soft_PE_WG_INC_mass_pyrolysis</t>
  </si>
  <si>
    <t>soft_PP_WG_SS_mass_pyrolysis</t>
  </si>
  <si>
    <t>soft_PP_WG_INC_mass_pyrolysis</t>
  </si>
  <si>
    <t>soft_PS_WG_SS_mass_pyrolysis</t>
  </si>
  <si>
    <t>soft_PS_WG_INC_mass_pyrolysis</t>
  </si>
  <si>
    <t>soft_Oth_WG_SS_mass_pyrolysis</t>
  </si>
  <si>
    <t>soft_Oth_WG_INC_mass_pyrolysis</t>
  </si>
  <si>
    <t>other_PET_WG_SS_mass_pyrolysis</t>
  </si>
  <si>
    <t>other_PET_WG_INC_mass_pyrolysis</t>
  </si>
  <si>
    <t>other_PE_WG_SS_mass_pyrolysis</t>
  </si>
  <si>
    <t>other_PE_WG_INC_mass_pyrolysis</t>
  </si>
  <si>
    <t>other_PP_WG_SS_mass_pyrolysis</t>
  </si>
  <si>
    <t>other_PP_WG_INC_mass_pyrolysis</t>
  </si>
  <si>
    <t>other_PS_WG_SS_mass_pyrolysis</t>
  </si>
  <si>
    <t>other_PS_WG_INC_mass_pyrolysis</t>
  </si>
  <si>
    <t>other_Oth_WG_SS_mass_pyrolysis</t>
  </si>
  <si>
    <t>other_Oth_WG_INC_mass_pyrolysis</t>
  </si>
  <si>
    <t>Total_WG_SS_mass_pyrolysis</t>
  </si>
  <si>
    <t>Total_WG_INC_mass_pyrolysis</t>
  </si>
  <si>
    <t>bottle_PET_SS_INC_mass_pyrolysis</t>
  </si>
  <si>
    <t>bottle_PE_SS_INC_mass_pyrolysis</t>
  </si>
  <si>
    <t>bottle_PP_SS_INC_mass_pyrolysis</t>
  </si>
  <si>
    <t>bottle_PS_SS_INC_mass_pyrolysis</t>
  </si>
  <si>
    <t>bottle_Oth_SS_INC_mass_pyrolysis</t>
  </si>
  <si>
    <t>rigid_PET_SS_INC_mass_pyrolysis</t>
  </si>
  <si>
    <t>rigid_PE_SS_INC_mass_pyrolysis</t>
  </si>
  <si>
    <t>rigid_PP_SS_INC_mass_pyrolysis</t>
  </si>
  <si>
    <t>rigid_PS_SS_INC_mass_pyrolysis</t>
  </si>
  <si>
    <t>rigid_Oth_SS_INC_mass_pyrolysis</t>
  </si>
  <si>
    <t>soft_PET_SS_INC_mass_pyrolysis</t>
  </si>
  <si>
    <t>soft_PE_SS_INC_mass_pyrolysis</t>
  </si>
  <si>
    <t>soft_PP_SS_INC_mass_pyrolysis</t>
  </si>
  <si>
    <t>soft_PS_SS_INC_mass_pyrolysis</t>
  </si>
  <si>
    <t>soft_Oth_SS_INC_mass_pyrolysis</t>
  </si>
  <si>
    <t>Total_bottle_SS_INC_mass_pyrolysis</t>
  </si>
  <si>
    <t>Total_rigid_SS_INC_mass_pyrolysis</t>
  </si>
  <si>
    <t>Total_soft_SS_INC_mass_pyrolysis</t>
  </si>
  <si>
    <t>Total_SS_INC_mass_pyrolysis</t>
  </si>
  <si>
    <t>bottle_PET_INC_tot_mass_pyrolysis</t>
  </si>
  <si>
    <t>bottle_PE_INC_tot_mass_pyrolysis</t>
  </si>
  <si>
    <t>bottle_PP_INC_tot_mass_pyrolysis</t>
  </si>
  <si>
    <t>bottle_PS_INC_tot_mass_pyrolysis</t>
  </si>
  <si>
    <t>bottle_oth_INC_tot_mass_pyrolysis</t>
  </si>
  <si>
    <t>rigid_PET_INC_tot_mass_pyrolysis</t>
  </si>
  <si>
    <t>rigid_PE_INC_tot_mass_pyrolysis</t>
  </si>
  <si>
    <t>rigid_PP_INC_tot_mass_pyrolysis</t>
  </si>
  <si>
    <t>rigid_PS_INC_tot_mass_pyrolysis</t>
  </si>
  <si>
    <t>rigid_Oth_INC_tot_mass_pyrolysis</t>
  </si>
  <si>
    <t>soft_PET_INC_tot_mass_pyrolysis</t>
  </si>
  <si>
    <t>soft_PE_INC_tot_mass_pyrolysis</t>
  </si>
  <si>
    <t>soft_PP_INC_tot_mass_pyrolysis</t>
  </si>
  <si>
    <t>soft_PS_INC_tot_mass_pyrolysis</t>
  </si>
  <si>
    <t>soft_Oth_INC_tot_mass_pyrolysis</t>
  </si>
  <si>
    <t>other_PET_INC_tot_mass_pyrolysis</t>
  </si>
  <si>
    <t>other_PE_INC_tot_mass_pyrolysis</t>
  </si>
  <si>
    <t>other_PP_INC_tot_mass_pyrolysis</t>
  </si>
  <si>
    <t>other_PS_INC_tot_mass_pyrolysis</t>
  </si>
  <si>
    <t>other_Oth_INC_tot_mass_pyrolysis</t>
  </si>
  <si>
    <t>bottle_PET_INC_ASH_mass_pyrolysis</t>
  </si>
  <si>
    <t>bottle_PET_INC_AIR_mass_pyrolysis</t>
  </si>
  <si>
    <t>bottle_PE_INC_ASH_mass_pyrolysis</t>
  </si>
  <si>
    <t>bottle_PE_INC_AIR_mass_pyrolysis</t>
  </si>
  <si>
    <t>bottle_PP_INC_ASH_mass_pyrolysis</t>
  </si>
  <si>
    <t>bottle_PP_INC_AIR_mass_pyrolysis</t>
  </si>
  <si>
    <t>bottle_PS_INC_ASH_mass_pyrolysis</t>
  </si>
  <si>
    <t>bottle_PS_INC_AIR_mass_pyrolysis</t>
  </si>
  <si>
    <t>bottle_Oth_INC_ASH_mass_pyrolysis</t>
  </si>
  <si>
    <t>bottle_Oth_INC_AIR_mass_pyrolysis</t>
  </si>
  <si>
    <t>rigid_PET_INC_ASH_mass_pyrolysis</t>
  </si>
  <si>
    <t>rigid_PET_INC_AIR_mass_pyrolysis</t>
  </si>
  <si>
    <t>rigid_PE_INC_ASH_mass_pyrolysis</t>
  </si>
  <si>
    <t>rigid_PE_INC_AIR_mass_pyrolysis</t>
  </si>
  <si>
    <t>rigid_PP_INC_ASH_mass_pyrolysis</t>
  </si>
  <si>
    <t>rigid_PP_INC_AIR_mass_pyrolysis</t>
  </si>
  <si>
    <t>rigid_PS_INC_ASH_mass_pyrolysis</t>
  </si>
  <si>
    <t>rigid_PS_INC_AIR_mass_pyrolysis</t>
  </si>
  <si>
    <t>rigid_Oth_INC_ASH_mass_pyrolysis</t>
  </si>
  <si>
    <t>rigid_Oth_INC_AIR_mass_pyrolysis</t>
  </si>
  <si>
    <t>soft_PET_INC_ASH_mass_pyrolysis</t>
  </si>
  <si>
    <t>soft_PET_INC_AIR_mass_pyrolysis</t>
  </si>
  <si>
    <t>soft_PE_INC_ASH_mass_pyrolysis</t>
  </si>
  <si>
    <t>soft_PE_INC_AIR_mass_pyrolysis</t>
  </si>
  <si>
    <t>soft_PP_INC_ASH_mass_pyrolysis</t>
  </si>
  <si>
    <t>soft_PP_INC_AIR_mass_pyrolysis</t>
  </si>
  <si>
    <t>soft_PS_INC_ASH_mass_pyrolysis</t>
  </si>
  <si>
    <t>soft_PS_INC_AIR_mass_pyrolysis</t>
  </si>
  <si>
    <t>soft_Oth_INC_ASH_mass_pyrolysis</t>
  </si>
  <si>
    <t>soft_Oth_INC_AIR_mass_pyrolysis</t>
  </si>
  <si>
    <t>other_PET_INC_ASH_mass_pyrolysis</t>
  </si>
  <si>
    <t>other_PET_INC_AIR_mass_pyrolysis</t>
  </si>
  <si>
    <t>other_PE_INC_ASH_mass_pyrolysis</t>
  </si>
  <si>
    <t>other_PE_INC_AIR_mass_pyrolysis</t>
  </si>
  <si>
    <t>other_PP_INC_ASH_mass_pyrolysis</t>
  </si>
  <si>
    <t>other_PP_INC_AIR_mass_pyrolysis</t>
  </si>
  <si>
    <t>other_PS_INC_ASH_mass_pyrolysis</t>
  </si>
  <si>
    <t>other_PS_INC_AIR_mass_pyrolysis</t>
  </si>
  <si>
    <t>other_Oth_INC_ASH_mass_pyrolysis</t>
  </si>
  <si>
    <t>other_Oth_INC_AIR_mass_pyrolysis</t>
  </si>
  <si>
    <t>Total_bottle_INC_ASH_mass_pyrolysis</t>
  </si>
  <si>
    <t>Total_bottle_INC_AIR_mass_pyrolysis</t>
  </si>
  <si>
    <t>Total_rigid_INC_ASH_mass_pyrolysis</t>
  </si>
  <si>
    <t>Total_rigid_INC_AIR_mass_pyrolysis</t>
  </si>
  <si>
    <t>Total_soft_INC_ASH_mass_pyrolysis</t>
  </si>
  <si>
    <t>Total_soft_INC_AIR_mass_pyrolysis</t>
  </si>
  <si>
    <t>Total_other_INC_ASH_mass_pyrolysis</t>
  </si>
  <si>
    <t>Total_other_INC_AIR_mass_pyrolysis</t>
  </si>
  <si>
    <t>Total_INC_ASH_mass_pyrolysis</t>
  </si>
  <si>
    <t>Total_INC_AIR_mass_pyrolysis</t>
  </si>
  <si>
    <t>bottle_PET_AIR_LOSS_mass_pyrolysis</t>
  </si>
  <si>
    <t>bottle_PE_AIR_LOSS_mass_pyrolysis</t>
  </si>
  <si>
    <t>bottle_PP_AIR_LOSS_mass_pyrolysis</t>
  </si>
  <si>
    <t>bottle_PS_AIR_LOSS_mass_pyrolysis</t>
  </si>
  <si>
    <t>bottle_Oth_AIR_LOSS_mass_pyrolysis</t>
  </si>
  <si>
    <t>rigid_PET_AIR_LOSS_mass_pyrolysis</t>
  </si>
  <si>
    <t>rigid_PE_AIR_LOSS_mass_pyrolysis</t>
  </si>
  <si>
    <t>rigid_PP_AIR_LOSS_mass_pyrolysis</t>
  </si>
  <si>
    <t>rigid_PS_AIR_LOSS_mass_pyrolysis</t>
  </si>
  <si>
    <t>rigid_Oth_AIR_LOSS_mass_pyrolysis</t>
  </si>
  <si>
    <t>soft_PET_AIR_LOSS_mass_pyrolysis</t>
  </si>
  <si>
    <t>soft_PE_AIR_LOSS_mass_pyrolysis</t>
  </si>
  <si>
    <t>soft_PP_AIR_LOSS_mass_pyrolysis</t>
  </si>
  <si>
    <t>soft_PS_AIR_LOSS_mass_pyrolysis</t>
  </si>
  <si>
    <t>soft_Oth_AIR_LOSS_mass_pyrolysis</t>
  </si>
  <si>
    <t>other_PET_AIR_LOSS_mass_pyrolysis</t>
  </si>
  <si>
    <t>other_PE_AIR_LOSS_mass_pyrolysis</t>
  </si>
  <si>
    <t>other_PP_AIR_LOSS_mass_pyrolysis</t>
  </si>
  <si>
    <t>other_PS_AIR_LOSS_mass_pyrolysis</t>
  </si>
  <si>
    <t>other_Oth_AIR_LOSS_mass_pyrolysis</t>
  </si>
  <si>
    <t>Total_bottle_AIR_LOSS_mass_pyrolysis</t>
  </si>
  <si>
    <t>Total_rigid_AIR_LOSS_mass_pyrolysis</t>
  </si>
  <si>
    <t>Total_soft_AIR_LOSS_mass_pyrolysis</t>
  </si>
  <si>
    <t>Total_other_AIR_LOSS_mass_pyrolysis</t>
  </si>
  <si>
    <t>Total_AIR_LOSS_mass_pyrolysis</t>
  </si>
  <si>
    <t>Amount of all subfractions going to source-separation (SS)</t>
  </si>
  <si>
    <t>Amount of all subfracions going to incineration (INC)</t>
  </si>
  <si>
    <t>Amount of all other plastic going to source-separation (SS)</t>
  </si>
  <si>
    <t>Amount of bottles that have been source-separated for presorting (PRE)</t>
  </si>
  <si>
    <t>Amount of all plastic that has been source-separated for presorting (PRE)</t>
  </si>
  <si>
    <t>Amount of rigid plastic that has been source-separated for presorting (PRE)</t>
  </si>
  <si>
    <t>Amount of soft plastic that has been source-separated for presorting (PRE)</t>
  </si>
  <si>
    <t>Amount of all plastic that has been source-separated for incineration (INC)</t>
  </si>
  <si>
    <t>bottle_PET_SS_PRE_mass_pyrolysis</t>
  </si>
  <si>
    <t>bottle_PE_SS_PRE_mass_pyrolysis</t>
  </si>
  <si>
    <t>bottle_PP_SS_PRE_mass_pyrolysis</t>
  </si>
  <si>
    <t>bottle_PS_SS_PRE_mass_pyrolysis</t>
  </si>
  <si>
    <t>bottle_Oth_SS_PRE_mass_pyrolysis</t>
  </si>
  <si>
    <t>rigid_PET_SS_PRE_mass_pyrolysis</t>
  </si>
  <si>
    <t>rigid_PE_SS_PRE_mass_pyrolysis</t>
  </si>
  <si>
    <t>rigid_PP_SS_PRE_mass_pyrolysis</t>
  </si>
  <si>
    <t>rigid_PS_SS_PRE_mass_pyrolysis</t>
  </si>
  <si>
    <t>rigid_Oth_SS_PRE_mass_pyrolysis</t>
  </si>
  <si>
    <t>soft_PET_SS_PRE_mass_pyrolysis</t>
  </si>
  <si>
    <t>soft_PE_SS_PRE_mass_pyrolysis</t>
  </si>
  <si>
    <t>soft_PP_SS_PRE_mass_pyrolysis</t>
  </si>
  <si>
    <t>soft_PS_SS_PRE_mass_pyrolysis</t>
  </si>
  <si>
    <t>soft_Oth_SS_PRE_mass_pyrolysis</t>
  </si>
  <si>
    <t>Total_bottle_SS_PRE_mass_pyrolysis</t>
  </si>
  <si>
    <t>Total_rigid_SS_PRE_mass_pyrolysis</t>
  </si>
  <si>
    <t>Total_soft_SS_PRE_mass_pyrolysis</t>
  </si>
  <si>
    <t>Total_SS_PRE_mass_pyrolysis</t>
  </si>
  <si>
    <t>To presorting (PRE)</t>
  </si>
  <si>
    <t>Presorting (PRE)</t>
  </si>
  <si>
    <t>Output from presorting (PRE)</t>
  </si>
  <si>
    <t>To pyrolysis (PYRO)</t>
  </si>
  <si>
    <t>bottle_PET_PRE_PYRO_mass_pyrolysis</t>
  </si>
  <si>
    <t>bottle_PE_PRE_PYRO_mass_pyrolysis</t>
  </si>
  <si>
    <t>bottle_PP_PRE_PYRO_mass_pyrolysis</t>
  </si>
  <si>
    <t>bottle_PS_PRE_PYRO_mass_pyrolysis</t>
  </si>
  <si>
    <t>bottle_Oth_PRE_PYRO_mass_pyrolysis</t>
  </si>
  <si>
    <t>rigid_PET_PRE_PYRO_mass_pyrolysis</t>
  </si>
  <si>
    <t>rigid_PE_PRE_PYRO_mass_pyrolysis</t>
  </si>
  <si>
    <t>rigid_PP_PRE_PYRO_mass_pyrolysis</t>
  </si>
  <si>
    <t>rigid_PS_PRE_PYRO_mass_pyrolysis</t>
  </si>
  <si>
    <t>rigid_Oth_PRE_PYRO_mass_pyrolysis</t>
  </si>
  <si>
    <t>soft_PET_PRE_PYRO_mass_pyrolysis</t>
  </si>
  <si>
    <t>soft_PE_PRE_PYRO_mass_pyrolysis</t>
  </si>
  <si>
    <t>soft_PP_PRE_PYRO_mass_pyrolysis</t>
  </si>
  <si>
    <t>soft_PS_PRE_PYRO_mass_pyrolysis</t>
  </si>
  <si>
    <t>soft_Oth_PRE_PYRO_mass_pyrolysis</t>
  </si>
  <si>
    <t>Total_PRE_PYRO_mass_pyrolysis</t>
  </si>
  <si>
    <t>Total_PRE_INC_mass_pyrolysis</t>
  </si>
  <si>
    <t>bottle_PET_PRE_INC_mass_pyrolysis</t>
  </si>
  <si>
    <t>bottle_PE_PRE_INC_mass_pyrolysis</t>
  </si>
  <si>
    <t>bottle_PP_PRE_INC_mass_pyrolysis</t>
  </si>
  <si>
    <t>bottle_PS_PRE_INC_mass_pyrolysis</t>
  </si>
  <si>
    <t>bottle_Oth_PRE_INC_mass_pyrolysis</t>
  </si>
  <si>
    <t>rigid_PET_PRE_INC_mass_pyrolysis</t>
  </si>
  <si>
    <t>rigid_PE_PRE_INC_mass_pyrolysis</t>
  </si>
  <si>
    <t>rigid_PP_PRE_INC_mass_pyrolysis</t>
  </si>
  <si>
    <t>rigid_PS_PRE_INC_mass_pyrolysis</t>
  </si>
  <si>
    <t>rigid_Oth_PRE_INC_mass_pyrolysis</t>
  </si>
  <si>
    <t>soft_PET_PRE_INC_mass_pyrolysis</t>
  </si>
  <si>
    <t>soft_PE_PRE_INC_mass_pyrolysis</t>
  </si>
  <si>
    <t>soft_PP_PRE_INC_mass_pyrolysis</t>
  </si>
  <si>
    <t>soft_PS_PRE_INC_mass_pyrolysis</t>
  </si>
  <si>
    <t>soft_Oth_PRE_INC_mass_pyrolysis</t>
  </si>
  <si>
    <t>Amount of bottles that have been presorted for pyrolysis (PYRO)</t>
  </si>
  <si>
    <t>Amount of rigid plastic that has been presorted for pyrolysis (PYRO)</t>
  </si>
  <si>
    <t>Amount of soft plastic that has been presorted for pyrolysis (PYRO)</t>
  </si>
  <si>
    <t>Amount of all plastic that has been presorted for pyrolysis (PYRO)</t>
  </si>
  <si>
    <t>Amount of bottles that have been presorted for incineration (INC)</t>
  </si>
  <si>
    <t>Amount of rigid plastic that has been presorted for incineration (INC)</t>
  </si>
  <si>
    <t>Amount of all soft plastic that has been presorted for incineration (INC)</t>
  </si>
  <si>
    <t>Amount of all plastic that has been presorted for incineration (INC)</t>
  </si>
  <si>
    <t>Purification (PUR)</t>
  </si>
  <si>
    <t>Output from purification (PUR)</t>
  </si>
  <si>
    <t>bottle_PET_PYRO_PUR_mass_pyrolysis</t>
  </si>
  <si>
    <t>bottle_PE_PYRO_PUR_mass_pyrolysis</t>
  </si>
  <si>
    <t>bottle_PP_PYRO_PUR_mass_pyrolysis</t>
  </si>
  <si>
    <t>bottle_PS_PYRO_PUR_mass_pyrolysis</t>
  </si>
  <si>
    <t>bottle_Oth_PYRO_PUR_mass_pyrolysis</t>
  </si>
  <si>
    <t>rigid_PET_PYRO_PUR_mass_pyrolysis</t>
  </si>
  <si>
    <t>rigid_PE_PYRO_PUR_mass_pyrolysis</t>
  </si>
  <si>
    <t>rigid_PP_PYRO_PUR_mass_pyrolysis</t>
  </si>
  <si>
    <t>rigid_PS_PYRO_PUR_mass_pyrolysis</t>
  </si>
  <si>
    <t>rigid_Oth_PYRO_PUR_mass_pyrolysis</t>
  </si>
  <si>
    <t>soft_PET_PYRO_PUR_mass_pyrolysis</t>
  </si>
  <si>
    <t>soft_PE_PYRO_PUR_mass_pyrolysis</t>
  </si>
  <si>
    <t>soft_PP_PYRO_PUR_mass_pyrolysis</t>
  </si>
  <si>
    <t>soft_PS_PYRO_PUR_mass_pyrolysis</t>
  </si>
  <si>
    <t>soft_Oth_PYRO_PUR_mass_pyrolysis</t>
  </si>
  <si>
    <t>Total_PYRO_PUR_mass_pyrolysis</t>
  </si>
  <si>
    <t>bottle_PET_PYRO_INC_mass_pyrolysis</t>
  </si>
  <si>
    <t>bottle_PE_PYRO_INC_mass_pyrolysis</t>
  </si>
  <si>
    <t>bottle_PP_PYRO_INC_mass_pyrolysis</t>
  </si>
  <si>
    <t>bottle_PS_PYRO_INC_mass_pyrolysis</t>
  </si>
  <si>
    <t>bottle_Oth_PYRO_INC_mass_pyrolysis</t>
  </si>
  <si>
    <t>rigid_PET_PYRO_INC_mass_pyrolysis</t>
  </si>
  <si>
    <t>rigid_PE_PYRO_INC_mass_pyrolysis</t>
  </si>
  <si>
    <t>rigid_PP_PYRO_INC_mass_pyrolysis</t>
  </si>
  <si>
    <t>rigid_PS_PYRO_INC_mass_pyrolysis</t>
  </si>
  <si>
    <t>rigid_Oth_PYRO_INC_mass_pyrolysis</t>
  </si>
  <si>
    <t>soft_PET_PYRO_INC_mass_pyrolysis</t>
  </si>
  <si>
    <t>soft_PE_PYRO_INC_mass_pyrolysis</t>
  </si>
  <si>
    <t>soft_PP_PYRO_INC_mass_pyrolysis</t>
  </si>
  <si>
    <t>soft_PS_PYRO_INC_mass_pyrolysis</t>
  </si>
  <si>
    <t>soft_Oth_PYRO_INC_mass_pyrolysis</t>
  </si>
  <si>
    <t>Total_PYRO_INC_mass_pyrolysis</t>
  </si>
  <si>
    <t>Amount of solids produced from pyrolysis of bottles that is sent for incineration (INC)</t>
  </si>
  <si>
    <t>Amount of solids produced from pyrolysis of rigid plastic that is sent for incineration (INC)</t>
  </si>
  <si>
    <t>Amount of solids produced from pyrolysis of soft plastic that is sent for incineration (INC)</t>
  </si>
  <si>
    <t>Amount of solids produced from pyrolysis of all plastic that is sent for incineration (INC)</t>
  </si>
  <si>
    <t>Amount of liquid produced from pyrolysis of bottles that is sent to purification (PUR)</t>
  </si>
  <si>
    <t>Amount of liquid produced from pyrolysis of all plastic that is sent to purification (PUR)</t>
  </si>
  <si>
    <t>Amount of liquid produced from pyrolysis of soft plastic that is sent to purification (PUR)</t>
  </si>
  <si>
    <t>Amount of liquid produced from pyrolysis of rigid plastic that is sent to purification (PUR)</t>
  </si>
  <si>
    <t>bottle_PET_PUR_POLY_mass_pyrolysis</t>
  </si>
  <si>
    <t>bottle_PE_PUR_POLY_mass_pyrolysis</t>
  </si>
  <si>
    <t>bottle_PP_PUR_POLY_mass_pyrolysis</t>
  </si>
  <si>
    <t>bottle_PS_PUR_POLY_mass_pyrolysis</t>
  </si>
  <si>
    <t>bottle_Oth_PUR_POLY_mass_pyrolysis</t>
  </si>
  <si>
    <t>rigid_PET_PUR_POLY_mass_pyrolysis</t>
  </si>
  <si>
    <t>rigid_PE_PUR_POLY_mass_pyrolysis</t>
  </si>
  <si>
    <t>rigid_PP_PUR_POLY_mass_pyrolysis</t>
  </si>
  <si>
    <t>rigid_PS_PUR_POLY_mass_pyrolysis</t>
  </si>
  <si>
    <t>rigid_Oth_PUR_POLY_mass_pyrolysis</t>
  </si>
  <si>
    <t>soft_PET_PUR_POLY_mass_pyrolysis</t>
  </si>
  <si>
    <t>soft_PE_PUR_POLY_mass_pyrolysis</t>
  </si>
  <si>
    <t>soft_PP_PUR_POLY_mass_pyrolysis</t>
  </si>
  <si>
    <t>soft_PS_PUR_POLY_mass_pyrolysis</t>
  </si>
  <si>
    <t>soft_Oth_PUR_POLY_mass_pyrolysis</t>
  </si>
  <si>
    <t>Total_PUR_POLY_mass_pyrolysis</t>
  </si>
  <si>
    <t>Amount of purified oil produced from purification of bottles that is sent to cracking and polymerization (POLY)</t>
  </si>
  <si>
    <t>Amount of purified oil produced from purification of rigid plastic that is sent to cracking and polymerization (POLY)</t>
  </si>
  <si>
    <t>Amount of purified oil produced from purification of soft plastic that is sent to cracking and polymerization (POLY)</t>
  </si>
  <si>
    <t>Amount of purified oil produced from purification of all plastic that is sent to cracking and polymerization (POLY)</t>
  </si>
  <si>
    <t>bottle_PET_PUR_HVR_mass_pyrolysis</t>
  </si>
  <si>
    <t>bottle_PE_PUR_HVR_mass_pyrolysis</t>
  </si>
  <si>
    <t>bottle_PP_PUR_HVR_mass_pyrolysis</t>
  </si>
  <si>
    <t>bottle_PS_PUR_HVR_mass_pyrolysis</t>
  </si>
  <si>
    <t>bottle_Oth_PUR_HVR_mass_pyrolysis</t>
  </si>
  <si>
    <t>rigid_PET_PUR_HVR_mass_pyrolysis</t>
  </si>
  <si>
    <t>rigid_PE_PUR_HVR_mass_pyrolysis</t>
  </si>
  <si>
    <t>rigid_PP_PUR_HVR_mass_pyrolysis</t>
  </si>
  <si>
    <t>rigid_PS_PUR_HVR_mass_pyrolysis</t>
  </si>
  <si>
    <t>rigid_Oth_PUR_HVR_mass_pyrolysis</t>
  </si>
  <si>
    <t>soft_PET_PUR_HVR_mass_pyrolysis</t>
  </si>
  <si>
    <t>soft_PE_PUR_HVR_mass_pyrolysis</t>
  </si>
  <si>
    <t>soft_PP_PUR_HVR_mass_pyrolysis</t>
  </si>
  <si>
    <t>soft_PS_PUR_HVR_mass_pyrolysis</t>
  </si>
  <si>
    <t>soft_Oth_PUR_HVR_mass_pyrolysis</t>
  </si>
  <si>
    <t>Total_PUR_HVR_mass_pyrolysis</t>
  </si>
  <si>
    <t>bottle_PET_POLY_NEW_mass_pyrolysis</t>
  </si>
  <si>
    <t>bottle_PE_POLY_NEW_mass_pyrolysis</t>
  </si>
  <si>
    <t>bottle_PP_POLY_NEW_mass_pyrolysis</t>
  </si>
  <si>
    <t>bottle_PS_POLY_NEW_mass_pyrolysis</t>
  </si>
  <si>
    <t>bottle_Oth_POLY_NEW_mass_pyrolysis</t>
  </si>
  <si>
    <t>rigid_PET_POLY_NEW_mass_pyrolysis</t>
  </si>
  <si>
    <t>rigid_PE_POLY_NEW_mass_pyrolysis</t>
  </si>
  <si>
    <t>rigid_PP_POLY_NEW_mass_pyrolysis</t>
  </si>
  <si>
    <t>rigid_PS_POLY_NEW_mass_pyrolysis</t>
  </si>
  <si>
    <t>rigid_Oth_POLY_NEW_mass_pyrolysis</t>
  </si>
  <si>
    <t>soft_PET_POLY_NEW_mass_pyrolysis</t>
  </si>
  <si>
    <t>soft_PE_POLY_NEW_mass_pyrolysis</t>
  </si>
  <si>
    <t>soft_PP_POLY_NEW_mass_pyrolysis</t>
  </si>
  <si>
    <t>soft_PS_POLY_NEW_mass_pyrolysis</t>
  </si>
  <si>
    <t>soft_Oth_POLY_NEW_mass_pyrolysis</t>
  </si>
  <si>
    <t>Total_POLY_NEW_mass_pyrolysis</t>
  </si>
  <si>
    <t>bottle_PET_POLY_INC_mass_pyrolysis</t>
  </si>
  <si>
    <t>bottle_PE_POLY_INC_mass_pyrolysis</t>
  </si>
  <si>
    <t>bottle_PP_POLY_INC_mass_pyrolysis</t>
  </si>
  <si>
    <t>bottle_PS_POLY_INC_mass_pyrolysis</t>
  </si>
  <si>
    <t>bottle_Oth_POLY_INC_mass_pyrolysis</t>
  </si>
  <si>
    <t>rigid_PET_POLY_INC_mass_pyrolysis</t>
  </si>
  <si>
    <t>rigid_PE_POLY_INC_mass_pyrolysis</t>
  </si>
  <si>
    <t>rigid_PP_POLY_INC_mass_pyrolysis</t>
  </si>
  <si>
    <t>rigid_PS_POLY_INC_mass_pyrolysis</t>
  </si>
  <si>
    <t>rigid_Oth_POLY_INC_mass_pyrolysis</t>
  </si>
  <si>
    <t>soft_PET_POLY_INC_mass_pyrolysis</t>
  </si>
  <si>
    <t>soft_PE_POLY_INC_mass_pyrolysis</t>
  </si>
  <si>
    <t>soft_PP_POLY_INC_mass_pyrolysis</t>
  </si>
  <si>
    <t>soft_PS_POLY_INC_mass_pyrolysis</t>
  </si>
  <si>
    <t>soft_Oth_POLY_INC_mass_pyrolysis</t>
  </si>
  <si>
    <t>Total_POLY_INC_mass_pyrolysis</t>
  </si>
  <si>
    <t>Amount of new plastic produced from cracking and polymerization of bottles (NEW)</t>
  </si>
  <si>
    <t>Amount of new plastic produced from cracking and polymerization of rigid plastic (NEW)</t>
  </si>
  <si>
    <t>Amount of new plastic produced from cracking and polymerization of soft plastic (NEW)</t>
  </si>
  <si>
    <t>Amount of new plastic produced from cracking and polymerization of all plastic (NEW)</t>
  </si>
  <si>
    <t>Amount of heavy vacuum residues produced from purification of bottles (HVR)</t>
  </si>
  <si>
    <t>Amount of heavy vacuum residues produced from purification of rigid plastic (HVR)</t>
  </si>
  <si>
    <t>Amount of heavy vacuum residues produced from purification of soft plastic (HVR)</t>
  </si>
  <si>
    <t>Amount of heavy vacuum residues produced from purification of all plastic (HVR)</t>
  </si>
  <si>
    <t>Amount of losses produced from purification of bottles (HVR)</t>
  </si>
  <si>
    <t>Amount of losses produced from purification of rigid plastic (HVR)</t>
  </si>
  <si>
    <t>Amount of losses produced from purification of soft plastic (HVR)</t>
  </si>
  <si>
    <t>Amount of losses produced from purification of all plastic (HVR)</t>
  </si>
  <si>
    <t>Amount of losses from incinerating bottles (LOSS)</t>
  </si>
  <si>
    <t>Amount of losses from incinerating rigid plastic (LOSS)</t>
  </si>
  <si>
    <t>Amount of losses from incinerating soft plastic (LOSS)</t>
  </si>
  <si>
    <t>Amount of losses from incinerating other plastic (LOSS)</t>
  </si>
  <si>
    <t>Amount of losses from incinerating all plastic (LOSS)</t>
  </si>
  <si>
    <t>bottle_PET_POLY_NEW_carbon_pyrolysis</t>
  </si>
  <si>
    <t>bottle_PE_POLY_NEW_carbon_pyrolysis</t>
  </si>
  <si>
    <t>bottle_PP_POLY_NEW_carbon_pyrolysis</t>
  </si>
  <si>
    <t>bottle_PS_POLY_NEW_carbon_pyrolysis</t>
  </si>
  <si>
    <t>bottle_Oth_POLY_NEW_carbon_pyrolysis</t>
  </si>
  <si>
    <t>rigid_PET_POLY_NEW_carbon_pyrolysis</t>
  </si>
  <si>
    <t>rigid_PE_POLY_NEW_carbon_pyrolysis</t>
  </si>
  <si>
    <t>rigid_PP_POLY_NEW_carbon_pyrolysis</t>
  </si>
  <si>
    <t>rigid_PS_POLY_NEW_carbon_pyrolysis</t>
  </si>
  <si>
    <t>rigid_Oth_POLY_NEW_carbon_pyrolysis</t>
  </si>
  <si>
    <t>soft_PET_POLY_NEW_carbon_pyrolysis</t>
  </si>
  <si>
    <t>soft_PE_POLY_NEW_carbon_pyrolysis</t>
  </si>
  <si>
    <t>soft_PP_POLY_NEW_carbon_pyrolysis</t>
  </si>
  <si>
    <t>soft_PS_POLY_NEW_carbon_pyrolysis</t>
  </si>
  <si>
    <t>soft_Oth_POLY_NEW_carbon_pyrolysis</t>
  </si>
  <si>
    <t>Total_POLY_NEW_carbon_pyrolysis</t>
  </si>
  <si>
    <t>bottle_PET_WG_INC_carbon_pyrolysis</t>
  </si>
  <si>
    <t>bottle_PE_WG_INC_carbon_pyrolysis</t>
  </si>
  <si>
    <t>bottle_PP_WG_INC_carbon_pyrolysis</t>
  </si>
  <si>
    <t>bottle_PS_WG_INC_carbon_pyrolysis</t>
  </si>
  <si>
    <t>bottle_Oth_WG_INC_carbon_pyrolysis</t>
  </si>
  <si>
    <t>rigid_PET_WG_INC_carbon_pyrolysis</t>
  </si>
  <si>
    <t>rigid_PE_WG_INC_carbon_pyrolysis</t>
  </si>
  <si>
    <t>rigid_PP_WG_INC_carbon_pyrolysis</t>
  </si>
  <si>
    <t>rigid_PS_WG_INC_carbon_pyrolysis</t>
  </si>
  <si>
    <t>rigid_Oth_WG_INC_carbon_pyrolysis</t>
  </si>
  <si>
    <t>soft_PE_WG_INC_carbon_pyrolysis</t>
  </si>
  <si>
    <t>soft_PP_WG_INC_carbon_pyrolysis</t>
  </si>
  <si>
    <t>soft_PS_WG_INC_carbon_pyrolysis</t>
  </si>
  <si>
    <t>soft_Oth_WG_INC_carbon_pyrolysis</t>
  </si>
  <si>
    <t>other_PET_WG_INC_carbon_pyrolysis</t>
  </si>
  <si>
    <t>other_PE_WG_INC_carbon_pyrolysis</t>
  </si>
  <si>
    <t>other_PP_WG_INC_carbon_pyrolysis</t>
  </si>
  <si>
    <t>other_PS_WG_INC_carbon_pyrolysis</t>
  </si>
  <si>
    <t>other_Oth_WG_INC_carbon_pyrolysis</t>
  </si>
  <si>
    <t>Total_WG_INC_carbon_pyrolysis</t>
  </si>
  <si>
    <t>bottle_PET_WG_SS_carbon_pyrolysis</t>
  </si>
  <si>
    <t>bottle_PE_WG_SS_carbon_pyrolysis</t>
  </si>
  <si>
    <t>bottle_PP_WG_SS_carbon_pyrolysis</t>
  </si>
  <si>
    <t>bottle_PS_WG_SS_carbon_pyrolysis</t>
  </si>
  <si>
    <t>bottle_Oth_WG_SS_carbon_pyrolysis</t>
  </si>
  <si>
    <t>rigid_PET_WG_SS_carbon_pyrolysis</t>
  </si>
  <si>
    <t>rigid_PE_WG_SS_carbon_pyrolysis</t>
  </si>
  <si>
    <t>rigid_PP_WG_SS_carbon_pyrolysis</t>
  </si>
  <si>
    <t>rigid_PS_WG_SS_carbon_pyrolysis</t>
  </si>
  <si>
    <t>rigid_Oth_WG_SS_carbon_pyrolysis</t>
  </si>
  <si>
    <t>soft_PET_WG_SS_carbon_pyrolysis</t>
  </si>
  <si>
    <t>soft_PE_WG_SS_carbon_pyrolysis</t>
  </si>
  <si>
    <t>soft_PP_WG_SS_carbon_pyrolysis</t>
  </si>
  <si>
    <t>soft_PS_WG_SS_carbon_pyrolysis</t>
  </si>
  <si>
    <t>soft_Oth_WG_SS_carbon_pyrolysis</t>
  </si>
  <si>
    <t>other_PET_WG_SS_carbon_pyrolysis</t>
  </si>
  <si>
    <t>other_PE_WG_SS_carbon_pyrolysis</t>
  </si>
  <si>
    <t>other_PP_WG_SS_carbon_pyrolysis</t>
  </si>
  <si>
    <t>other_PS_WG_SS_carbon_pyrolysis</t>
  </si>
  <si>
    <t>other_Oth_WG_SS_carbon_pyrolysis</t>
  </si>
  <si>
    <t>bottle_PE_SS_PRE_carbon_pyrolysis</t>
  </si>
  <si>
    <t>bottle_PP_SS_PRE_carbon_pyrolysis</t>
  </si>
  <si>
    <t>bottle_PS_SS_PRE_carbon_pyrolysis</t>
  </si>
  <si>
    <t>bottle_Oth_SS_PRE_carbon_pyrolysis</t>
  </si>
  <si>
    <t>rigid_PET_SS_PRE_carbon_pyrolysis</t>
  </si>
  <si>
    <t>rigid_PE_SS_PRE_carbon_pyrolysis</t>
  </si>
  <si>
    <t>rigid_PP_SS_PRE_carbon_pyrolysis</t>
  </si>
  <si>
    <t>rigid_PS_SS_PRE_carbon_pyrolysis</t>
  </si>
  <si>
    <t>rigid_Oth_SS_PRE_carbon_pyrolysis</t>
  </si>
  <si>
    <t>soft_PET_SS_PRE_carbon_pyrolysis</t>
  </si>
  <si>
    <t>soft_PE_SS_PRE_carbon_pyrolysis</t>
  </si>
  <si>
    <t>soft_PP_SS_PRE_carbon_pyrolysis</t>
  </si>
  <si>
    <t>soft_PS_SS_PRE_carbon_pyrolysis</t>
  </si>
  <si>
    <t>soft_Oth_SS_PRE_carbon_pyrolysis</t>
  </si>
  <si>
    <t>bottle_PET_SS_INC_carbon_pyrolysis</t>
  </si>
  <si>
    <t>bottle_PE_SS_INC_carbon_pyrolysis</t>
  </si>
  <si>
    <t>bottle_PP_SS_INC_carbon_pyrolysis</t>
  </si>
  <si>
    <t>bottle_PS_SS_INC_carbon_pyrolysis</t>
  </si>
  <si>
    <t>bottle_Oth_SS_INC_carbon_pyrolysis</t>
  </si>
  <si>
    <t>rigid_PET_SS_INC_carbon_pyrolysis</t>
  </si>
  <si>
    <t>rigid_PE_SS_INC_carbon_pyrolysis</t>
  </si>
  <si>
    <t>rigid_PP_SS_INC_carbon_pyrolysis</t>
  </si>
  <si>
    <t>rigid_PS_SS_INC_carbon_pyrolysis</t>
  </si>
  <si>
    <t>rigid_Oth_SS_INC_carbon_pyrolysis</t>
  </si>
  <si>
    <t>soft_PE_SS_INC_carbon_pyrolysis</t>
  </si>
  <si>
    <t>soft_PP_SS_INC_carbon_pyrolysis</t>
  </si>
  <si>
    <t>soft_PS_SS_INC_carbon_pyrolysis</t>
  </si>
  <si>
    <t>soft_Oth_SS_INC_carbon_pyrolysis</t>
  </si>
  <si>
    <t>Total_SS_INC_carbon_pyrolysis</t>
  </si>
  <si>
    <t>Total_bottle_SS_PRE_carbon_pyrolysis</t>
  </si>
  <si>
    <t>Total_bottle_SS_INC_carbon_pyrolysis</t>
  </si>
  <si>
    <t>Total_rigid_SS_PRE_carbon_pyrolysis</t>
  </si>
  <si>
    <t>Total_rigid_SS_INC_carbon_pyrolysis</t>
  </si>
  <si>
    <t>Total_soft_SS_PRE_carbon_pyrolysis</t>
  </si>
  <si>
    <t>Total_soft_SS_INC_carbon_pyrolysis</t>
  </si>
  <si>
    <t>Total_SS_PRE_carbon_pyrolysis</t>
  </si>
  <si>
    <t>bottle_PET_PRE_PYRO_carbon_pyrolysis</t>
  </si>
  <si>
    <t>bottle_PET_PRE_INC_carbon_pyrolysis</t>
  </si>
  <si>
    <t>bottle_PE_PRE_PYRO_carbon_pyrolysis</t>
  </si>
  <si>
    <t>bottle_PE_PRE_INC_carbon_pyrolysis</t>
  </si>
  <si>
    <t>bottle_PP_PRE_PYRO_carbon_pyrolysis</t>
  </si>
  <si>
    <t>bottle_PP_PRE_INC_carbon_pyrolysis</t>
  </si>
  <si>
    <t>bottle_PS_PRE_PYRO_carbon_pyrolysis</t>
  </si>
  <si>
    <t>bottle_PS_PRE_INC_carbon_pyrolysis</t>
  </si>
  <si>
    <t>bottle_Oth_PRE_PYRO_carbon_pyrolysis</t>
  </si>
  <si>
    <t>bottle_Oth_PRE_INC_carbon_pyrolysis</t>
  </si>
  <si>
    <t>rigid_PET_PRE_PYRO_carbon_pyrolysis</t>
  </si>
  <si>
    <t>rigid_PET_PRE_INC_carbon_pyrolysis</t>
  </si>
  <si>
    <t>rigid_PE_PRE_PYRO_carbon_pyrolysis</t>
  </si>
  <si>
    <t>rigid_PE_PRE_INC_carbon_pyrolysis</t>
  </si>
  <si>
    <t>rigid_PP_PRE_PYRO_carbon_pyrolysis</t>
  </si>
  <si>
    <t>rigid_PP_PRE_INC_carbon_pyrolysis</t>
  </si>
  <si>
    <t>rigid_PS_PRE_PYRO_carbon_pyrolysis</t>
  </si>
  <si>
    <t>rigid_PS_PRE_INC_carbon_pyrolysis</t>
  </si>
  <si>
    <t>rigid_Oth_PRE_PYRO_carbon_pyrolysis</t>
  </si>
  <si>
    <t>rigid_Oth_PRE_INC_carbon_pyrolysis</t>
  </si>
  <si>
    <t>soft_PET_PRE_PYRO_carbon_pyrolysis</t>
  </si>
  <si>
    <t>soft_PE_PRE_PYRO_carbon_pyrolysis</t>
  </si>
  <si>
    <t>soft_PE_PRE_INC_carbon_pyrolysis</t>
  </si>
  <si>
    <t>soft_PP_PRE_PYRO_carbon_pyrolysis</t>
  </si>
  <si>
    <t>soft_PP_PRE_INC_carbon_pyrolysis</t>
  </si>
  <si>
    <t>soft_PS_PRE_PYRO_carbon_pyrolysis</t>
  </si>
  <si>
    <t>soft_PS_PRE_INC_carbon_pyrolysis</t>
  </si>
  <si>
    <t>soft_Oth_PRE_PYRO_carbon_pyrolysis</t>
  </si>
  <si>
    <t>soft_Oth_PRE_INC_carbon_pyrolysis</t>
  </si>
  <si>
    <t>Total_PRE_PYRO_carbon_pyrolysis</t>
  </si>
  <si>
    <t>bottle_PET_INC_tot_carbon_pyrolysis</t>
  </si>
  <si>
    <t>bottle_PE_INC_tot_carbon_pyrolysis</t>
  </si>
  <si>
    <t>bottle_PP_INC_tot_carbon_pyrolysis</t>
  </si>
  <si>
    <t>bottle_PS_INC_tot_carbon_pyrolysis</t>
  </si>
  <si>
    <t>bottle_oth_INC_tot_carbon_pyrolysis</t>
  </si>
  <si>
    <t>rigid_PET_INC_tot_carbon_pyrolysis</t>
  </si>
  <si>
    <t>rigid_PE_INC_tot_carbon_pyrolysis</t>
  </si>
  <si>
    <t>rigid_PP_INC_tot_carbon_pyrolysis</t>
  </si>
  <si>
    <t>rigid_PS_INC_tot_carbon_pyrolysis</t>
  </si>
  <si>
    <t>rigid_Oth_INC_tot_carbon_pyrolysis</t>
  </si>
  <si>
    <t>soft_PET_INC_tot_carbon_pyrolysis</t>
  </si>
  <si>
    <t>soft_PE_INC_tot_carbon_pyrolysis</t>
  </si>
  <si>
    <t>soft_PP_INC_tot_carbon_pyrolysis</t>
  </si>
  <si>
    <t>soft_PS_INC_tot_carbon_pyrolysis</t>
  </si>
  <si>
    <t>soft_Oth_INC_tot_carbon_pyrolysis</t>
  </si>
  <si>
    <t>bottle_PET_INC_ASH_carbon_pyrolysis</t>
  </si>
  <si>
    <t>bottle_PET_INC_AIR_carbon_pyrolysis</t>
  </si>
  <si>
    <t>bottle_PE_INC_ASH_carbon_pyrolysis</t>
  </si>
  <si>
    <t>bottle_PE_INC_AIR_carbon_pyrolysis</t>
  </si>
  <si>
    <t>bottle_PP_INC_ASH_carbon_pyrolysis</t>
  </si>
  <si>
    <t>bottle_PP_INC_AIR_carbon_pyrolysis</t>
  </si>
  <si>
    <t>bottle_PS_INC_ASH_carbon_pyrolysis</t>
  </si>
  <si>
    <t>bottle_PS_INC_AIR_carbon_pyrolysis</t>
  </si>
  <si>
    <t>bottle_Oth_INC_ASH_carbon_pyrolysis</t>
  </si>
  <si>
    <t>bottle_Oth_INC_AIR_carbon_pyrolysis</t>
  </si>
  <si>
    <t>rigid_PET_INC_ASH_carbon_pyrolysis</t>
  </si>
  <si>
    <t>rigid_PET_INC_AIR_carbon_pyrolysis</t>
  </si>
  <si>
    <t>rigid_PE_INC_ASH_carbon_pyrolysis</t>
  </si>
  <si>
    <t>rigid_PE_INC_AIR_carbon_pyrolysis</t>
  </si>
  <si>
    <t>rigid_PP_INC_ASH_carbon_pyrolysis</t>
  </si>
  <si>
    <t>rigid_PP_INC_AIR_carbon_pyrolysis</t>
  </si>
  <si>
    <t>rigid_PS_INC_ASH_carbon_pyrolysis</t>
  </si>
  <si>
    <t>rigid_PS_INC_AIR_carbon_pyrolysis</t>
  </si>
  <si>
    <t>rigid_Oth_INC_ASH_carbon_pyrolysis</t>
  </si>
  <si>
    <t>rigid_Oth_INC_AIR_carbon_pyrolysis</t>
  </si>
  <si>
    <t>soft_PET_INC_ASH_carbon_pyrolysis</t>
  </si>
  <si>
    <t>soft_PET_INC_AIR_carbon_pyrolysis</t>
  </si>
  <si>
    <t>soft_PE_INC_ASH_carbon_pyrolysis</t>
  </si>
  <si>
    <t>soft_PE_INC_AIR_carbon_pyrolysis</t>
  </si>
  <si>
    <t>soft_PP_INC_ASH_carbon_pyrolysis</t>
  </si>
  <si>
    <t>soft_PP_INC_AIR_carbon_pyrolysis</t>
  </si>
  <si>
    <t>soft_PS_INC_ASH_carbon_pyrolysis</t>
  </si>
  <si>
    <t>soft_PS_INC_AIR_carbon_pyrolysis</t>
  </si>
  <si>
    <t>soft_Oth_INC_ASH_carbon_pyrolysis</t>
  </si>
  <si>
    <t>soft_Oth_INC_AIR_carbon_pyrolysis</t>
  </si>
  <si>
    <t>other_PET_INC_ASH_carbon_pyrolysis</t>
  </si>
  <si>
    <t>other_PET_INC_AIR_carbon_pyrolysis</t>
  </si>
  <si>
    <t>other_PE_INC_ASH_carbon_pyrolysis</t>
  </si>
  <si>
    <t>other_PE_INC_AIR_carbon_pyrolysis</t>
  </si>
  <si>
    <t>other_PP_INC_ASH_carbon_pyrolysis</t>
  </si>
  <si>
    <t>other_PP_INC_AIR_carbon_pyrolysis</t>
  </si>
  <si>
    <t>other_PS_INC_ASH_carbon_pyrolysis</t>
  </si>
  <si>
    <t>other_PS_INC_AIR_carbon_pyrolysis</t>
  </si>
  <si>
    <t>other_Oth_INC_ASH_carbon_pyrolysis</t>
  </si>
  <si>
    <t>other_Oth_INC_AIR_carbon_pyrolysis</t>
  </si>
  <si>
    <t>Total_bottle_INC_ASH_carbon_pyrolysis</t>
  </si>
  <si>
    <t>Total_bottle_INC_AIR_carbon_pyrolysis</t>
  </si>
  <si>
    <t>Total_rigid_INC_ASH_carbon_pyrolysis</t>
  </si>
  <si>
    <t>Total_rigid_INC_AIR_carbon_pyrolysis</t>
  </si>
  <si>
    <t>Total_soft_INC_ASH_carbon_pyrolysis</t>
  </si>
  <si>
    <t>Total_soft_INC_AIR_carbon_pyrolysis</t>
  </si>
  <si>
    <t>Total_other_INC_ASH_carbon_pyrolysis</t>
  </si>
  <si>
    <t>Total_other_INC_AIR_carbon_pyrolysis</t>
  </si>
  <si>
    <t>Total_INC_ASH_carbon_pyrolysis</t>
  </si>
  <si>
    <t>Total_INC_AIR_carbon_pyrolysis</t>
  </si>
  <si>
    <t>bottle_PET_AIR_LOSS_carbon_pyrolysis</t>
  </si>
  <si>
    <t>bottle_PE_AIR_LOSS_carbon_pyrolysis</t>
  </si>
  <si>
    <t>bottle_PP_AIR_LOSS_carbon_pyrolysis</t>
  </si>
  <si>
    <t>bottle_PS_AIR_LOSS_carbon_pyrolysis</t>
  </si>
  <si>
    <t>bottle_Oth_AIR_LOSS_carbon_pyrolysis</t>
  </si>
  <si>
    <t>rigid_PET_AIR_LOSS_carbon_pyrolysis</t>
  </si>
  <si>
    <t>rigid_PE_AIR_LOSS_carbon_pyrolysis</t>
  </si>
  <si>
    <t>rigid_PP_AIR_LOSS_carbon_pyrolysis</t>
  </si>
  <si>
    <t>rigid_PS_AIR_LOSS_carbon_pyrolysis</t>
  </si>
  <si>
    <t>rigid_Oth_AIR_LOSS_carbon_pyrolysis</t>
  </si>
  <si>
    <t>soft_PET_AIR_LOSS_carbon_pyrolysis</t>
  </si>
  <si>
    <t>soft_PE_AIR_LOSS_carbon_pyrolysis</t>
  </si>
  <si>
    <t>soft_PP_AIR_LOSS_carbon_pyrolysis</t>
  </si>
  <si>
    <t>soft_PS_AIR_LOSS_carbon_pyrolysis</t>
  </si>
  <si>
    <t>soft_Oth_AIR_LOSS_carbon_pyrolysis</t>
  </si>
  <si>
    <t>other_PET_AIR_LOSS_carbon_pyrolysis</t>
  </si>
  <si>
    <t>other_PE_AIR_LOSS_carbon_pyrolysis</t>
  </si>
  <si>
    <t>other_PP_AIR_LOSS_carbon_pyrolysis</t>
  </si>
  <si>
    <t>other_PS_AIR_LOSS_carbon_pyrolysis</t>
  </si>
  <si>
    <t>other_Oth_AIR_LOSS_carbon_pyrolysis</t>
  </si>
  <si>
    <t>Total_bottle_AIR_LOSS_carbon_pyrolysis</t>
  </si>
  <si>
    <t>Total_rigid_AIR_LOSS_carbon_pyrolysis</t>
  </si>
  <si>
    <t>Total_soft_AIR_LOSS_carbon_pyrolysis</t>
  </si>
  <si>
    <t>Total_other_AIR_LOSS_carbon_pyrolysis</t>
  </si>
  <si>
    <t>Total_AIR_LOSS_carbon_pyrolysis</t>
  </si>
  <si>
    <t>Total_bottle_PRE_PYRO_carbon_pyrolysis</t>
  </si>
  <si>
    <t>Total_rigid_PRE_PYRO_carbon_pyrolysis</t>
  </si>
  <si>
    <t>Total_soft_PRE_PYRO_carbon_pyrolysis</t>
  </si>
  <si>
    <t>Total_PYRO_PUR_carbon_pyrolysis</t>
  </si>
  <si>
    <t>bottle_PET_PYRO_PUR_carbon_pyrolysis</t>
  </si>
  <si>
    <t>bottle_PE_PYRO_PUR_carbon_pyrolysis</t>
  </si>
  <si>
    <t>bottle_PP_PYRO_PUR_carbon_pyrolysis</t>
  </si>
  <si>
    <t>bottle_PS_PYRO_PUR_carbon_pyrolysis</t>
  </si>
  <si>
    <t>bottle_Oth_PYRO_PUR_carbon_pyrolysis</t>
  </si>
  <si>
    <t>rigid_PET_PYRO_PUR_carbon_pyrolysis</t>
  </si>
  <si>
    <t>rigid_PE_PYRO_PUR_carbon_pyrolysis</t>
  </si>
  <si>
    <t>rigid_PP_PYRO_PUR_carbon_pyrolysis</t>
  </si>
  <si>
    <t>rigid_PS_PYRO_PUR_carbon_pyrolysis</t>
  </si>
  <si>
    <t>rigid_Oth_PYRO_PUR_carbon_pyrolysis</t>
  </si>
  <si>
    <t>soft_PET_PYRO_PUR_carbon_pyrolysis</t>
  </si>
  <si>
    <t>soft_PE_PYRO_PUR_carbon_pyrolysis</t>
  </si>
  <si>
    <t>soft_PP_PYRO_PUR_carbon_pyrolysis</t>
  </si>
  <si>
    <t>soft_PS_PYRO_PUR_carbon_pyrolysis</t>
  </si>
  <si>
    <t>soft_Oth_PYRO_PUR_carbon_pyrolysis</t>
  </si>
  <si>
    <t>Total_rigid_PYRO_PUR_carbon_pyrolysis</t>
  </si>
  <si>
    <t>Total_soft_PYRO_PUR_carbon_pyrolysis</t>
  </si>
  <si>
    <t>Total_bottle_PYRO_PUR_carbon_pyrolysis</t>
  </si>
  <si>
    <t>bottle_PET_PYRO_INC_carbon_pyrolysis</t>
  </si>
  <si>
    <t>bottle_PE_PYRO_INC_carbon_pyrolysis</t>
  </si>
  <si>
    <t>bottle_PP_PYRO_INC_carbon_pyrolysis</t>
  </si>
  <si>
    <t>bottle_PS_PYRO_INC_carbon_pyrolysis</t>
  </si>
  <si>
    <t>bottle_Oth_PYRO_INC_carbon_pyrolysis</t>
  </si>
  <si>
    <t>rigid_PET_PYRO_INC_carbon_pyrolysis</t>
  </si>
  <si>
    <t>rigid_PE_PYRO_INC_carbon_pyrolysis</t>
  </si>
  <si>
    <t>rigid_PP_PYRO_INC_carbon_pyrolysis</t>
  </si>
  <si>
    <t>rigid_PS_PYRO_INC_carbon_pyrolysis</t>
  </si>
  <si>
    <t>rigid_Oth_PYRO_INC_carbon_pyrolysis</t>
  </si>
  <si>
    <t>soft_PE_PYRO_INC_carbon_pyrolysis</t>
  </si>
  <si>
    <t>soft_PP_PYRO_INC_carbon_pyrolysis</t>
  </si>
  <si>
    <t>soft_PS_PYRO_INC_carbon_pyrolysis</t>
  </si>
  <si>
    <t>soft_Oth_PYRO_INC_carbon_pyrolysis</t>
  </si>
  <si>
    <t>Total_PYRO_INC_carbon_pyrolysis</t>
  </si>
  <si>
    <t>Total_bottle_PYRO_INC_carbon_pyrolysis</t>
  </si>
  <si>
    <t>Total_rigid_PYRO_INC_carbon_pyrolysis</t>
  </si>
  <si>
    <t>Total_soft_PYRO_INC_carbon_pyrolysis</t>
  </si>
  <si>
    <t>bottle_PET_PUR_POLY_carbon_pyrolysis</t>
  </si>
  <si>
    <t>bottle_PE_PUR_POLY_carbon_pyrolysis</t>
  </si>
  <si>
    <t>bottle_PP_PUR_POLY_carbon_pyrolysis</t>
  </si>
  <si>
    <t>bottle_PS_PUR_POLY_carbon_pyrolysis</t>
  </si>
  <si>
    <t>bottle_Oth_PUR_POLY_carbon_pyrolysis</t>
  </si>
  <si>
    <t>rigid_PET_PUR_POLY_carbon_pyrolysis</t>
  </si>
  <si>
    <t>rigid_PE_PUR_POLY_carbon_pyrolysis</t>
  </si>
  <si>
    <t>rigid_PP_PUR_POLY_carbon_pyrolysis</t>
  </si>
  <si>
    <t>rigid_PS_PUR_POLY_carbon_pyrolysis</t>
  </si>
  <si>
    <t>rigid_Oth_PUR_POLY_carbon_pyrolysis</t>
  </si>
  <si>
    <t>soft_PET_PUR_POLY_carbon_pyrolysis</t>
  </si>
  <si>
    <t>soft_PE_PUR_POLY_carbon_pyrolysis</t>
  </si>
  <si>
    <t>soft_PP_PUR_POLY_carbon_pyrolysis</t>
  </si>
  <si>
    <t>soft_PS_PUR_POLY_carbon_pyrolysis</t>
  </si>
  <si>
    <t>soft_Oth_PUR_POLY_carbon_pyrolysis</t>
  </si>
  <si>
    <t>Total_bottle_PUR_POLY_carbon_pyrolysis</t>
  </si>
  <si>
    <t>Total_PUR_POLY_carbon_pyrolysis</t>
  </si>
  <si>
    <t>Total_rigid_PUR_POLY_carbon_pyrolysis</t>
  </si>
  <si>
    <t>Total_soft_PUR_POLY_carbon_pyrolysis</t>
  </si>
  <si>
    <t>Total_bottle_PRE_PYRO_mass_pyrolysis</t>
  </si>
  <si>
    <t>Total_rigid_PRE_PYRO_mass_pyrolysis</t>
  </si>
  <si>
    <t>Total_soft_PRE_PYRO_mass_pyrolysis</t>
  </si>
  <si>
    <t>Total_bottle_PRE_INC_mass_pyrolysis</t>
  </si>
  <si>
    <t>Total_rigid_PRE_INC_mass_pyrolysis</t>
  </si>
  <si>
    <t>Total_soft_PRE_INC_mass_pyrolysis</t>
  </si>
  <si>
    <t>Total_bottle_PYRO_INC_mass_pyrolysis</t>
  </si>
  <si>
    <t>Total_rigid_PYRO_INC_mass_pyrolysis</t>
  </si>
  <si>
    <t>Total_soft_PYRO_INC_mass_pyrolysis</t>
  </si>
  <si>
    <t>Total_bottle_PYRO_PUR_mass_pyrolysis</t>
  </si>
  <si>
    <t>Total_rigid_PYRO_PUR_mass_pyrolysis</t>
  </si>
  <si>
    <t>Total_soft_PYRO_PUR_mass_pyrolysis</t>
  </si>
  <si>
    <t>Total_bottle_WG_SS_mass_pyrolysis</t>
  </si>
  <si>
    <t>Total_rigid_WG_SS_mass_pyrolysis</t>
  </si>
  <si>
    <t>Total_soft_WG_SS_mass_pyrolysis</t>
  </si>
  <si>
    <t>Total_other_WG_SS_mass_pyrolysis</t>
  </si>
  <si>
    <t>Total_bottle_WG_INC_mass_pyrolysis</t>
  </si>
  <si>
    <t>Total_rigid_WG_INC_mass_pyrolysis</t>
  </si>
  <si>
    <t>Total_soft_WG_INC_mass_pyrolysis</t>
  </si>
  <si>
    <t>Total_other_WG_INC_mass_pyrolysis</t>
  </si>
  <si>
    <t>Total_bottle_PUR_HVR_mass_pyrolysis</t>
  </si>
  <si>
    <t>Total_rigid_PUR_HVR_mass_pyrolysis</t>
  </si>
  <si>
    <t>Total_soft_PUR_HVR_mass_pyrolysis</t>
  </si>
  <si>
    <t>Total_bottle_PUR_POLY_mass_pyrolysis</t>
  </si>
  <si>
    <t>Total_rigid_PUR_POLY_mass_pyrolysis</t>
  </si>
  <si>
    <t>Total_soft_PUR_POLY_mass_pyrolysis</t>
  </si>
  <si>
    <t>Total_bottle_POLY_NEW_mass_pyrolysis</t>
  </si>
  <si>
    <t>Total_rigid_POLY_NEW_mass_pyrolysis</t>
  </si>
  <si>
    <t>Total_soft_POLY_NEW_mass_pyrolysis</t>
  </si>
  <si>
    <t>Total_bottle_POLY_INC_mass_pyrolysis</t>
  </si>
  <si>
    <t>Total_rigid_POLY_INC_mass_pyrolysis</t>
  </si>
  <si>
    <t>Total_soft_POLY_INC_mass_pyrolysis</t>
  </si>
  <si>
    <t>soft_PET_SS_INC_carbon_pyrolysis</t>
  </si>
  <si>
    <t>soft_PET_PRE_INC_carbon_pyrolysis</t>
  </si>
  <si>
    <t>Total_PRE_INC_carbon_pyrolysis</t>
  </si>
  <si>
    <t>Total_bottle_PRE_INC_carbon_pyrolysis</t>
  </si>
  <si>
    <t>Total_rigid_PRE_INC_carbon_pyrolysis</t>
  </si>
  <si>
    <t>Total_soft_PRE_INC_carbon_pyrolysis</t>
  </si>
  <si>
    <t>soft_PET_PYRO_INC_carbon_pyrolysis</t>
  </si>
  <si>
    <t>Total_PUR_INC_carbon_pyrolysis</t>
  </si>
  <si>
    <t>soft_PE_PUR_INC_carbon_pyrolysis</t>
  </si>
  <si>
    <t>Total_bottle_PUR_INC_carbon_pyrolysis</t>
  </si>
  <si>
    <t>Total_rigid_PUR_INC_carbon_pyrolysis</t>
  </si>
  <si>
    <t>Total_soft_PUR_INC_carbon_pyrolysis</t>
  </si>
  <si>
    <t>bottle_PET_POLY_INC_carbon_pyrolysis</t>
  </si>
  <si>
    <t>bottle_PE_POLY_INC_carbon_pyrolysis</t>
  </si>
  <si>
    <t>bottle_PP_POLY_INC_carbon_pyrolysis</t>
  </si>
  <si>
    <t>bottle_PS_POLY_INC_carbon_pyrolysis</t>
  </si>
  <si>
    <t>bottle_Oth_POLY_INC_carbon_pyrolysis</t>
  </si>
  <si>
    <t>rigid_PET_POLY_INC_carbon_pyrolysis</t>
  </si>
  <si>
    <t>rigid_PE_POLY_INC_carbon_pyrolysis</t>
  </si>
  <si>
    <t>rigid_PP_POLY_INC_carbon_pyrolysis</t>
  </si>
  <si>
    <t>rigid_PS_POLY_INC_carbon_pyrolysis</t>
  </si>
  <si>
    <t>rigid_Oth_POLY_INC_carbon_pyrolysis</t>
  </si>
  <si>
    <t>soft_PET_POLY_INC_carbon_pyrolysis</t>
  </si>
  <si>
    <t>soft_PE_POLY_INC_carbon_pyrolysis</t>
  </si>
  <si>
    <t>soft_PP_POLY_INC_carbon_pyrolysis</t>
  </si>
  <si>
    <t>soft_PS_POLY_INC_carbon_pyrolysis</t>
  </si>
  <si>
    <t>soft_Oth_POLY_INC_carbon_pyrolysis</t>
  </si>
  <si>
    <t>Total_bottle_POLY_INC_carbon_pyrolysis</t>
  </si>
  <si>
    <t>Total_rigid_POLY_INC_carbon_pyrolysis</t>
  </si>
  <si>
    <t>Total_soft_POLY_INC_carbon_pyrolysis</t>
  </si>
  <si>
    <t>Total_POLY_INC_carbon_pyrolysis</t>
  </si>
  <si>
    <t>Total_bottle_POLY_NEW_carbon_pyrolysis</t>
  </si>
  <si>
    <t>Total_rigid_POLY_NEW_carbon_pyrolysis</t>
  </si>
  <si>
    <t>Total_soft_POLY_NEW_carbon_pyrolysis</t>
  </si>
  <si>
    <t>other_PET_INC_tot_carbon_pyrolysis</t>
  </si>
  <si>
    <t>other_PE_INC_tot_carbon_pyrolysis</t>
  </si>
  <si>
    <t>other_PP_INC_tot_carbon_pyrolysis</t>
  </si>
  <si>
    <t>other_PS_INC_tot_carbon_pyrolysis</t>
  </si>
  <si>
    <t>other_Oth_INC_tot_carbon_pyrolysis</t>
  </si>
  <si>
    <t>Amount of carbon in new plastic produced from cracking and polymerization of bottles (NEW)</t>
  </si>
  <si>
    <t>Amount of carbon in new plastic produced from cracking and polymerization of rigid plastic (NEW)</t>
  </si>
  <si>
    <t>Amount of carbon in new plastic produced from cracking and polymerization of soft plastic (NEW)</t>
  </si>
  <si>
    <t>Amount of carbon in new plastic produced from cracking and polymerization of all plastic (NEW)</t>
  </si>
  <si>
    <t>Amount of carbon in losses produced from purification of bottles (HVR)</t>
  </si>
  <si>
    <t>Amount of carbon in losses produced from purification of rigid plastic (HVR)</t>
  </si>
  <si>
    <t>Amount of carbon in losses produced from purification of soft plastic (HVR)</t>
  </si>
  <si>
    <t>Amount of carbon in losses produced from purification of all plastic (HVR)</t>
  </si>
  <si>
    <t>Amount of carbon in purified oil produced from purification of bottles that is sent to cracking and polymerization (POLY)</t>
  </si>
  <si>
    <t>Amount of carbon in purified oil produced from purification of rigid plastic that is sent to cracking and polymerization (POLY)</t>
  </si>
  <si>
    <t>Amount of carbon in purified oil produced from purification of soft plastic that is sent to cracking and polymerization (POLY)</t>
  </si>
  <si>
    <t>Amount of carbon in purified oil produced from purification of all plastic that is sent to cracking and polymerization (POLY)</t>
  </si>
  <si>
    <t>Amount of carbon in heavy vacuum residues produced from purification of bottles (HVR)</t>
  </si>
  <si>
    <t>Amount of carbon in heavy vacuum residues produced from purification of rigid plastic (HVR)</t>
  </si>
  <si>
    <t>Amount of carbon in heavy vacuum residues produced from purification of soft plastic (HVR)</t>
  </si>
  <si>
    <t>Amount of carbon in heavy vacuum residues produced from purification of all plastic (HVR)</t>
  </si>
  <si>
    <t>Amount of carbon in solids produced from pyrolysis of bottles that is sent for incineration (INC)</t>
  </si>
  <si>
    <t>Amount of carbon in solids produced from pyrolysis of rigid plastic that is sent for incineration (INC)</t>
  </si>
  <si>
    <t>Amount of carbon in solids produced from pyrolysis of soft plastic that is sent for incineration (INC)</t>
  </si>
  <si>
    <t>Amount of carbon In solids produced from pyrolysis of all plastic that is sent for incineration (INC)</t>
  </si>
  <si>
    <t>Amount of carbon in bottles that have been presorted for pyrolysis (PYRO)</t>
  </si>
  <si>
    <t>Amount of carbon in rigid plastic that has been presorted for pyrolysis (PYRO)</t>
  </si>
  <si>
    <t>Amount of carbon in soft plastic that has been presorted for pyrolysis (PYRO)</t>
  </si>
  <si>
    <t>Amount of carbon in all plastic that has been presorted for pyrolysis (PYRO)</t>
  </si>
  <si>
    <t>Amount of carbon in bottles that have been presorted for incineration (INC)</t>
  </si>
  <si>
    <t>Amount of carbon in rigid plastic that has been presorted for incineration (INC)</t>
  </si>
  <si>
    <t>Amount of carbon in all soft plastic that has been presorted for incineration (INC)</t>
  </si>
  <si>
    <t>Amount of carbon in all plastic that has been presorted for incineration (INC)</t>
  </si>
  <si>
    <t>Amount of carbon in bottles that have been source-separated for presorting (PRE)</t>
  </si>
  <si>
    <t>Amount of carbon in rigid plastic that has been source-separated for presorting (PRE)</t>
  </si>
  <si>
    <t>Amount of carbon in soft plastic that has been source-separated for presorting (PRE)</t>
  </si>
  <si>
    <t>Amount of carbon in all plastic that has been source-separated for presorting (PRE)</t>
  </si>
  <si>
    <t>Amount of carbon in bottles that have been source-separated for incineration (INC)</t>
  </si>
  <si>
    <t>Amount of carbon in rigid plastic that has been source-separated for incineration (INC)</t>
  </si>
  <si>
    <t>Amount of carbon in all plastic that has been source-separated for incineration (INC)</t>
  </si>
  <si>
    <t>Amount of carbon in soft plastic that has been source-separated for incineration (INC)</t>
  </si>
  <si>
    <t>Amount of carbon in all subfractions going to source-separation (SS)</t>
  </si>
  <si>
    <t>Amount of other plastic going to incineration (INC)</t>
  </si>
  <si>
    <t>Amount of carbon in bottles going to incineration (INC)</t>
  </si>
  <si>
    <t>Amount of carbon in rigid plastic going to incineration (INC)</t>
  </si>
  <si>
    <t>Amount of carbon in soft plastic going to incineration (INC)</t>
  </si>
  <si>
    <t>Amount of carbon in other plastic going to incineration (INC)</t>
  </si>
  <si>
    <t>Amount of carbon in all subfracions going to incineration (INC)</t>
  </si>
  <si>
    <t>bottle_PET_WG_SS_energy_pyrolysis</t>
  </si>
  <si>
    <t>bottle_PE_WG_SS_energy_pyrolysis</t>
  </si>
  <si>
    <t>bottle_PP_WG_SS_energy_pyrolysis</t>
  </si>
  <si>
    <t>bottle_PS_WG_SS_energy_pyrolysis</t>
  </si>
  <si>
    <t>bottle_Oth_WG_SS_energy_pyrolysis</t>
  </si>
  <si>
    <t>rigid_PET_WG_SS_energy_pyrolysis</t>
  </si>
  <si>
    <t>rigid_PE_WG_SS_energy_pyrolysis</t>
  </si>
  <si>
    <t>rigid_PP_WG_SS_energy_pyrolysis</t>
  </si>
  <si>
    <t>rigid_PS_WG_SS_energy_pyrolysis</t>
  </si>
  <si>
    <t>rigid_Oth_WG_SS_energy_pyrolysis</t>
  </si>
  <si>
    <t>soft_PET_WG_SS_energy_pyrolysis</t>
  </si>
  <si>
    <t>soft_PE_WG_SS_energy_pyrolysis</t>
  </si>
  <si>
    <t>soft_PP_WG_SS_energy_pyrolysis</t>
  </si>
  <si>
    <t>soft_PS_WG_SS_energy_pyrolysis</t>
  </si>
  <si>
    <t>soft_Oth_WG_SS_energy_pyrolysis</t>
  </si>
  <si>
    <t>other_PET_WG_SS_energy_pyrolysis</t>
  </si>
  <si>
    <t>other_PE_WG_SS_energy_pyrolysis</t>
  </si>
  <si>
    <t>other_PP_WG_SS_energy_pyrolysis</t>
  </si>
  <si>
    <t>other_PS_WG_SS_energy_pyrolysis</t>
  </si>
  <si>
    <t>other_Oth_WG_SS_energy_pyrolysis</t>
  </si>
  <si>
    <t>bottle_PET_WG_INC_energy_pyrolysis</t>
  </si>
  <si>
    <t>bottle_PE_WG_INC_energy_pyrolysis</t>
  </si>
  <si>
    <t>bottle_PP_WG_INC_energy_pyrolysis</t>
  </si>
  <si>
    <t>bottle_PS_WG_INC_energy_pyrolysis</t>
  </si>
  <si>
    <t>bottle_Oth_WG_INC_energy_pyrolysis</t>
  </si>
  <si>
    <t>rigid_PET_WG_INC_energy_pyrolysis</t>
  </si>
  <si>
    <t>rigid_PE_WG_INC_energy_pyrolysis</t>
  </si>
  <si>
    <t>rigid_PP_WG_INC_energy_pyrolysis</t>
  </si>
  <si>
    <t>rigid_PS_WG_INC_energy_pyrolysis</t>
  </si>
  <si>
    <t>rigid_Oth_WG_INC_energy_pyrolysis</t>
  </si>
  <si>
    <t>soft_PE_WG_INC_energy_pyrolysis</t>
  </si>
  <si>
    <t>soft_PP_WG_INC_energy_pyrolysis</t>
  </si>
  <si>
    <t>soft_PS_WG_INC_energy_pyrolysis</t>
  </si>
  <si>
    <t>soft_Oth_WG_INC_energy_pyrolysis</t>
  </si>
  <si>
    <t>other_PET_WG_INC_energy_pyrolysis</t>
  </si>
  <si>
    <t>other_PE_WG_INC_energy_pyrolysis</t>
  </si>
  <si>
    <t>other_PP_WG_INC_energy_pyrolysis</t>
  </si>
  <si>
    <t>other_PS_WG_INC_energy_pyrolysis</t>
  </si>
  <si>
    <t>other_Oth_WG_INC_energy_pyrolysis</t>
  </si>
  <si>
    <t>soft_PET_WG_INC_carbon_pyrolysis</t>
  </si>
  <si>
    <t>soft_PET_WG_INC_energy_pyrolysis</t>
  </si>
  <si>
    <t>Amount of energy in bottles going to incineration (INC)</t>
  </si>
  <si>
    <t>Amount of energy in rigid plastic going to incineration (INC)</t>
  </si>
  <si>
    <t>Amount of energy in soft plastic going to incineration (INC)</t>
  </si>
  <si>
    <t>Amount of energy in other plastic going to incineration (INC)</t>
  </si>
  <si>
    <t>Amount of energy in all subfracions going to incineration (INC)</t>
  </si>
  <si>
    <t>Amount of energy in all subfractions going to source-separation (SS)</t>
  </si>
  <si>
    <t>Total_WG_INC_energy_pyrolysis</t>
  </si>
  <si>
    <t>Total_bottle_WG_SS_carbon_pyrolysis</t>
  </si>
  <si>
    <t>Total_rigid_WG_SS_carbon_pyrolysis</t>
  </si>
  <si>
    <t>Total_soft_WG_SS_carbon_pyrolysis</t>
  </si>
  <si>
    <t>Total_other_WG_SS_carbon_pyrolysis</t>
  </si>
  <si>
    <t>Total_WG_SS_carbon_pyrolysis</t>
  </si>
  <si>
    <t>Total_bottle_WG_INC_carbon_pyrolysis</t>
  </si>
  <si>
    <t>Total_rigid_WG_INC_carbon_pyrolysis</t>
  </si>
  <si>
    <t>Total_soft_WG_INC_carbon_pyrolysis</t>
  </si>
  <si>
    <t>Total_other_WG_INC_carbon_pyrolysis</t>
  </si>
  <si>
    <t>Total_bottle_WG_SS_energy_pyrolysis</t>
  </si>
  <si>
    <t>Total_rigid_WG_SS_energy_pyrolysis</t>
  </si>
  <si>
    <t>Total_soft_WG_SS_energy_pyrolysis</t>
  </si>
  <si>
    <t>Total_other_WG_SS_energy_pyrolysis</t>
  </si>
  <si>
    <t>Total_WG_SS_energy_pyrolysis</t>
  </si>
  <si>
    <t>Total_bottle_WG_INC_energy_pyrolysis</t>
  </si>
  <si>
    <t>Total_rigid_WG_INC_energy_pyrolysis</t>
  </si>
  <si>
    <t>Total_soft_WG_INC_energy_pyrolysis</t>
  </si>
  <si>
    <t>Total_other_WG_INC_energy_pyrolysis</t>
  </si>
  <si>
    <t>bottle_PET_SS_INC_energy_pyrolysis</t>
  </si>
  <si>
    <t>bottle_PE_SS_INC_energy_pyrolysis</t>
  </si>
  <si>
    <t>bottle_PP_SS_INC_energy_pyrolysis</t>
  </si>
  <si>
    <t>bottle_PS_SS_INC_energy_pyrolysis</t>
  </si>
  <si>
    <t>bottle_Oth_SS_INC_energy_pyrolysis</t>
  </si>
  <si>
    <t>rigid_PET_SS_INC_energy_pyrolysis</t>
  </si>
  <si>
    <t>rigid_PE_SS_INC_energy_pyrolysis</t>
  </si>
  <si>
    <t>rigid_PP_SS_INC_energy_pyrolysis</t>
  </si>
  <si>
    <t>rigid_PS_SS_INC_energy_pyrolysis</t>
  </si>
  <si>
    <t>rigid_Oth_SS_INC_energy_pyrolysis</t>
  </si>
  <si>
    <t>soft_PET_SS_INC_energy_pyrolysis</t>
  </si>
  <si>
    <t>soft_PE_SS_INC_energy_pyrolysis</t>
  </si>
  <si>
    <t>soft_PP_SS_INC_energy_pyrolysis</t>
  </si>
  <si>
    <t>soft_PS_SS_INC_energy_pyrolysis</t>
  </si>
  <si>
    <t>soft_Oth_SS_INC_energy_pyrolysis</t>
  </si>
  <si>
    <t>Amount of energy in bottles that have been source-separated for incineration (INC)</t>
  </si>
  <si>
    <t>Amount of energy in rigid plastic that has been source-separated for incineration (INC)</t>
  </si>
  <si>
    <t>Amount of energy in soft plastic that has been source-separated for incineration (INC)</t>
  </si>
  <si>
    <t>Amount of energy in all plastic that has been source-separated for incineration (INC)</t>
  </si>
  <si>
    <t>Total_bottle_SS_INC_energy_pyrolysis</t>
  </si>
  <si>
    <t>Total_rigid_SS_INC_energy_pyrolysis</t>
  </si>
  <si>
    <t>Total_soft_SS_INC_energy_pyrolysis</t>
  </si>
  <si>
    <t>Total_SS_INC_energy_pyrolysis</t>
  </si>
  <si>
    <t>Amount of energy in bottles that have been source-separated for presorting (PRE)</t>
  </si>
  <si>
    <t>Amount of energy in rigid plastic that has been source-separated for presorting (PRE)</t>
  </si>
  <si>
    <t>Amount of energy in soft plastic that has been source-separated for presorting (PRE)</t>
  </si>
  <si>
    <t>Amount of energy in all plastic that has been source-separated for presorting (PRE)</t>
  </si>
  <si>
    <t>Total_bottle_SS_PRE_energy_pyrolysis</t>
  </si>
  <si>
    <t>Total_rigid_SS_PRE_energy_pyrolysis</t>
  </si>
  <si>
    <t>Total_soft_SS_PRE_energy_pyrolysis</t>
  </si>
  <si>
    <t>Total_SS_PRE_energy_pyrolysis</t>
  </si>
  <si>
    <t>bottle_PE_SS_PRE_energy_pyrolysis</t>
  </si>
  <si>
    <t>bottle_PP_SS_PRE_energy_pyrolysis</t>
  </si>
  <si>
    <t>bottle_PS_SS_PRE_energy_pyrolysis</t>
  </si>
  <si>
    <t>bottle_Oth_SS_PRE_energy_pyrolysis</t>
  </si>
  <si>
    <t>rigid_PET_SS_PRE_energy_pyrolysis</t>
  </si>
  <si>
    <t>rigid_PE_SS_PRE_energy_pyrolysis</t>
  </si>
  <si>
    <t>rigid_PP_SS_PRE_energy_pyrolysis</t>
  </si>
  <si>
    <t>rigid_PS_SS_PRE_energy_pyrolysis</t>
  </si>
  <si>
    <t>rigid_Oth_SS_PRE_energy_pyrolysis</t>
  </si>
  <si>
    <t>soft_PET_SS_PRE_energy_pyrolysis</t>
  </si>
  <si>
    <t>soft_PE_SS_PRE_energy_pyrolysis</t>
  </si>
  <si>
    <t>soft_PP_SS_PRE_energy_pyrolysis</t>
  </si>
  <si>
    <t>soft_PS_SS_PRE_energy_pyrolysis</t>
  </si>
  <si>
    <t>soft_Oth_SS_PRE_energy_pyrolysis</t>
  </si>
  <si>
    <t>Amount of energy in bottles that have been presorted for incineration (INC)</t>
  </si>
  <si>
    <t>Amount of energy in rigid plastic that has been presorted for incineration (INC)</t>
  </si>
  <si>
    <t>Amount of energy in all soft plastic that has been presorted for incineration (INC)</t>
  </si>
  <si>
    <t>Amount of energy in all plastic that has been presorted for incineration (INC)</t>
  </si>
  <si>
    <t>bottle_PET_PRE_INC_energy_pyrolysis</t>
  </si>
  <si>
    <t>bottle_PE_PRE_INC_energy_pyrolysis</t>
  </si>
  <si>
    <t>bottle_PP_PRE_INC_energy_pyrolysis</t>
  </si>
  <si>
    <t>bottle_PS_PRE_INC_energy_pyrolysis</t>
  </si>
  <si>
    <t>bottle_Oth_PRE_INC_energy_pyrolysis</t>
  </si>
  <si>
    <t>rigid_PET_PRE_INC_energy_pyrolysis</t>
  </si>
  <si>
    <t>rigid_PE_PRE_INC_energy_pyrolysis</t>
  </si>
  <si>
    <t>rigid_PP_PRE_INC_energy_pyrolysis</t>
  </si>
  <si>
    <t>rigid_PS_PRE_INC_energy_pyrolysis</t>
  </si>
  <si>
    <t>rigid_Oth_PRE_INC_energy_pyrolysis</t>
  </si>
  <si>
    <t>soft_PET_PRE_INC_energy_pyrolysis</t>
  </si>
  <si>
    <t>soft_PE_PRE_INC_energy_pyrolysis</t>
  </si>
  <si>
    <t>soft_PP_PRE_INC_energy_pyrolysis</t>
  </si>
  <si>
    <t>soft_PS_PRE_INC_energy_pyrolysis</t>
  </si>
  <si>
    <t>soft_Oth_PRE_INC_energy_pyrolysis</t>
  </si>
  <si>
    <t>Total_bottle_PRE_INC_energy_pyrolysis</t>
  </si>
  <si>
    <t>Total_rigid_PRE_INC_energy_pyrolysis</t>
  </si>
  <si>
    <t>Total_soft_PRE_INC_energy_pyrolysis</t>
  </si>
  <si>
    <t>Total_PRE_INC_energy_pyrolysis</t>
  </si>
  <si>
    <t>Amount of energy in bottles that have been presorted for pyrolysis (PYRO)</t>
  </si>
  <si>
    <t>Amount of energy in rigid plastic that has been presorted for pyrolysis (PYRO)</t>
  </si>
  <si>
    <t>Amount of energy in soft plastic that has been presorted for pyrolysis (PYRO)</t>
  </si>
  <si>
    <t>Amount of energy in all plastic that has been presorted for pyrolysis (PYRO)</t>
  </si>
  <si>
    <t>bottle_PET_PRE_PYRO_energy_pyrolysis</t>
  </si>
  <si>
    <t>bottle_PE_PRE_PYRO_energy_pyrolysis</t>
  </si>
  <si>
    <t>bottle_PP_PRE_PYRO_energy_pyrolysis</t>
  </si>
  <si>
    <t>bottle_PS_PRE_PYRO_energy_pyrolysis</t>
  </si>
  <si>
    <t>bottle_Oth_PRE_PYRO_energy_pyrolysis</t>
  </si>
  <si>
    <t>rigid_PET_PRE_PYRO_energy_pyrolysis</t>
  </si>
  <si>
    <t>rigid_PE_PRE_PYRO_energy_pyrolysis</t>
  </si>
  <si>
    <t>rigid_PP_PRE_PYRO_energy_pyrolysis</t>
  </si>
  <si>
    <t>rigid_PS_PRE_PYRO_energy_pyrolysis</t>
  </si>
  <si>
    <t>rigid_Oth_PRE_PYRO_energy_pyrolysis</t>
  </si>
  <si>
    <t>soft_PET_PRE_PYRO_energy_pyrolysis</t>
  </si>
  <si>
    <t>soft_PE_PRE_PYRO_energy_pyrolysis</t>
  </si>
  <si>
    <t>soft_PP_PRE_PYRO_energy_pyrolysis</t>
  </si>
  <si>
    <t>soft_PS_PRE_PYRO_energy_pyrolysis</t>
  </si>
  <si>
    <t>soft_Oth_PRE_PYRO_energy_pyrolysis</t>
  </si>
  <si>
    <t>Total_bottle_PRE_PYRO_energy_pyrolysis</t>
  </si>
  <si>
    <t>Total_rigid_PRE_PYRO_energy_pyrolysis</t>
  </si>
  <si>
    <t>Total_soft_PRE_PYRO_energy_pyrolysis</t>
  </si>
  <si>
    <t>Total_PRE_PYRO_energy_pyrolysis</t>
  </si>
  <si>
    <t>Amount of energy in solids produced from pyrolysis of bottles that is sent for incineration (INC)</t>
  </si>
  <si>
    <t>Amount of energy in solids produced from pyrolysis of rigid plastic that is sent for incineration (INC)</t>
  </si>
  <si>
    <t>Amount of energy in solids produced from pyrolysis of soft plastic that is sent for incineration (INC)</t>
  </si>
  <si>
    <t>Amount of energy In solids produced from pyrolysis of all plastic that is sent for incineration (INC)</t>
  </si>
  <si>
    <t>bottle_PET_PYRO_INC_energy_pyrolysis</t>
  </si>
  <si>
    <t>bottle_PE_PYRO_INC_energy_pyrolysis</t>
  </si>
  <si>
    <t>bottle_PP_PYRO_INC_energy_pyrolysis</t>
  </si>
  <si>
    <t>bottle_PS_PYRO_INC_energy_pyrolysis</t>
  </si>
  <si>
    <t>bottle_Oth_PYRO_INC_energy_pyrolysis</t>
  </si>
  <si>
    <t>rigid_PET_PYRO_INC_energy_pyrolysis</t>
  </si>
  <si>
    <t>rigid_PE_PYRO_INC_energy_pyrolysis</t>
  </si>
  <si>
    <t>rigid_PP_PYRO_INC_energy_pyrolysis</t>
  </si>
  <si>
    <t>rigid_PS_PYRO_INC_energy_pyrolysis</t>
  </si>
  <si>
    <t>rigid_Oth_PYRO_INC_energy_pyrolysis</t>
  </si>
  <si>
    <t>soft_PET_PYRO_INC_energy_pyrolysis</t>
  </si>
  <si>
    <t>soft_PE_PYRO_INC_energy_pyrolysis</t>
  </si>
  <si>
    <t>soft_PP_PYRO_INC_energy_pyrolysis</t>
  </si>
  <si>
    <t>soft_PS_PYRO_INC_energy_pyrolysis</t>
  </si>
  <si>
    <t>soft_Oth_PYRO_INC_energy_pyrolysis</t>
  </si>
  <si>
    <t>Total_bottle_PYRO_INC_energy_pyrolysis</t>
  </si>
  <si>
    <t>Total_rigid_PYRO_INC_energy_pyrolysis</t>
  </si>
  <si>
    <t>Total_soft_PYRO_INC_energy_pyrolysis</t>
  </si>
  <si>
    <t>Total_PYRO_INC_energy_pyrolysis</t>
  </si>
  <si>
    <t>bottle_PET_PYRO_PUR_energy_pyrolysis</t>
  </si>
  <si>
    <t>bottle_PE_PYRO_PUR_energy_pyrolysis</t>
  </si>
  <si>
    <t>bottle_PP_PYRO_PUR_energy_pyrolysis</t>
  </si>
  <si>
    <t>bottle_PS_PYRO_PUR_energy_pyrolysis</t>
  </si>
  <si>
    <t>bottle_Oth_PYRO_PUR_energy_pyrolysis</t>
  </si>
  <si>
    <t>rigid_PET_PYRO_PUR_energy_pyrolysis</t>
  </si>
  <si>
    <t>rigid_PE_PYRO_PUR_energy_pyrolysis</t>
  </si>
  <si>
    <t>rigid_PP_PYRO_PUR_energy_pyrolysis</t>
  </si>
  <si>
    <t>rigid_PS_PYRO_PUR_energy_pyrolysis</t>
  </si>
  <si>
    <t>rigid_Oth_PYRO_PUR_energy_pyrolysis</t>
  </si>
  <si>
    <t>soft_PET_PYRO_PUR_energy_pyrolysis</t>
  </si>
  <si>
    <t>soft_PE_PYRO_PUR_energy_pyrolysis</t>
  </si>
  <si>
    <t>soft_PP_PYRO_PUR_energy_pyrolysis</t>
  </si>
  <si>
    <t>soft_PS_PYRO_PUR_energy_pyrolysis</t>
  </si>
  <si>
    <t>soft_Oth_PYRO_PUR_energy_pyrolysis</t>
  </si>
  <si>
    <t>Total_bottle_PYRO_PUR_energy_pyrolysis</t>
  </si>
  <si>
    <t>Total_rigid_PYRO_PUR_energy_pyrolysis</t>
  </si>
  <si>
    <t>Total_soft_PYRO_PUR_energy_pyrolysis</t>
  </si>
  <si>
    <t>Total_PYRO_PUR_energy_pyrolysis</t>
  </si>
  <si>
    <t>Energy losses due to process inefficiencies</t>
  </si>
  <si>
    <t>Carbon losses due to process inefficiencies</t>
  </si>
  <si>
    <t>soft_PE_PUR_INC_energy_pyrolysis</t>
  </si>
  <si>
    <t>bottle_PET_PUR_INC_carbon_pyrolysis</t>
  </si>
  <si>
    <t>bottle_PE_PUR_INC_carbon_pyrolysis</t>
  </si>
  <si>
    <t>bottle_PP_PUR_INC_carbon_pyrolysis</t>
  </si>
  <si>
    <t>bottle_PS_PUR_INC_carbon_pyrolysis</t>
  </si>
  <si>
    <t>bottle_Oth_PUR_INC_carbon_pyrolysis</t>
  </si>
  <si>
    <t>rigid_PET_PUR_INC_carbon_pyrolysis</t>
  </si>
  <si>
    <t>rigid_PE_PUR_INC_carbon_pyrolysis</t>
  </si>
  <si>
    <t>rigid_PP_PUR_INC_carbon_pyrolysis</t>
  </si>
  <si>
    <t>rigid_PS_PUR_INC_carbon_pyrolysis</t>
  </si>
  <si>
    <t>rigid_Oth_PUR_INC_carbon_pyrolysis</t>
  </si>
  <si>
    <t>soft_PET_PUR_INC_carbon_pyrolysis</t>
  </si>
  <si>
    <t>soft_PP_PUR_INC_carbon_pyrolysis</t>
  </si>
  <si>
    <t>soft_PS_PUR_INC_carbon_pyrolysis</t>
  </si>
  <si>
    <t>soft_Oth_PUR_INC_carbon_pyrolysis</t>
  </si>
  <si>
    <t>bottle_PET_PUR_INC_energy_pyrolysis</t>
  </si>
  <si>
    <t>bottle_PE_PUR_INC_energy_pyrolysis</t>
  </si>
  <si>
    <t>bottle_PP_PUR_INC_energy_pyrolysis</t>
  </si>
  <si>
    <t>bottle_PS_PUR_INC_energy_pyrolysis</t>
  </si>
  <si>
    <t>bottle_Oth_PUR_INC_energy_pyrolysis</t>
  </si>
  <si>
    <t>rigid_PET_PUR_INC_energy_pyrolysis</t>
  </si>
  <si>
    <t>rigid_PE_PUR_INC_energy_pyrolysis</t>
  </si>
  <si>
    <t>rigid_PP_PUR_INC_energy_pyrolysis</t>
  </si>
  <si>
    <t>rigid_PS_PUR_INC_energy_pyrolysis</t>
  </si>
  <si>
    <t>rigid_Oth_PUR_INC_energy_pyrolysis</t>
  </si>
  <si>
    <t>soft_PET_PUR_INC_energy_pyrolysis</t>
  </si>
  <si>
    <t>soft_PP_PUR_INC_energy_pyrolysis</t>
  </si>
  <si>
    <t>soft_PS_PUR_INC_energy_pyrolysis</t>
  </si>
  <si>
    <t>soft_Oth_PUR_INC_energy_pyrolysis</t>
  </si>
  <si>
    <t>Total_bottle_PUR_INC_energy_pyrolysis</t>
  </si>
  <si>
    <t>Total_rigid_PUR_INC_energy_pyrolysis</t>
  </si>
  <si>
    <t>Total_soft_PUR_INC_energy_pyrolysis</t>
  </si>
  <si>
    <t>Total_PUR_INC_energy_pyrolysis</t>
  </si>
  <si>
    <t>Amount of energy in heavy vacuum residues produced from purification of bottles (HVR)</t>
  </si>
  <si>
    <t>Amount of energy in heavy vacuum residues produced from purification of rigid plastic (HVR)</t>
  </si>
  <si>
    <t>Amount of energy in heavy vacuum residues produced from purification of soft plastic (HVR)</t>
  </si>
  <si>
    <t>Amount of energy in heavy vacuum residues produced from purification of all plastic (HVR)</t>
  </si>
  <si>
    <t>bottle_PET_PUR_POLY_energy_pyrolysis</t>
  </si>
  <si>
    <t>bottle_PE_PUR_POLY_energy_pyrolysis</t>
  </si>
  <si>
    <t>bottle_PP_PUR_POLY_energy_pyrolysis</t>
  </si>
  <si>
    <t>bottle_PS_PUR_POLY_energy_pyrolysis</t>
  </si>
  <si>
    <t>bottle_Oth_PUR_POLY_energy_pyrolysis</t>
  </si>
  <si>
    <t>rigid_PET_PUR_POLY_energy_pyrolysis</t>
  </si>
  <si>
    <t>rigid_PE_PUR_POLY_energy_pyrolysis</t>
  </si>
  <si>
    <t>rigid_PP_PUR_POLY_energy_pyrolysis</t>
  </si>
  <si>
    <t>rigid_PS_PUR_POLY_energy_pyrolysis</t>
  </si>
  <si>
    <t>rigid_Oth_PUR_POLY_energy_pyrolysis</t>
  </si>
  <si>
    <t>soft_PET_PUR_POLY_energy_pyrolysis</t>
  </si>
  <si>
    <t>soft_PE_PUR_POLY_energy_pyrolysis</t>
  </si>
  <si>
    <t>soft_PP_PUR_POLY_energy_pyrolysis</t>
  </si>
  <si>
    <t>soft_PS_PUR_POLY_energy_pyrolysis</t>
  </si>
  <si>
    <t>soft_Oth_PUR_POLY_energy_pyrolysis</t>
  </si>
  <si>
    <t>Amount of energy in purified oil produced from purification of bottles that is sent to cracking and polymerization (POLY)</t>
  </si>
  <si>
    <t>Amount of energy in purified oil produced from purification of rigid plastic that is sent to cracking and polymerization (POLY)</t>
  </si>
  <si>
    <t>Amount of energy in purified oil produced from purification of soft plastic that is sent to cracking and polymerization (POLY)</t>
  </si>
  <si>
    <t>Amount of energy in purified oil produced from purification of all plastic that is sent to cracking and polymerization (POLY)</t>
  </si>
  <si>
    <t>Total_bottle_PUR_POLY_energy_pyrolysis</t>
  </si>
  <si>
    <t>Total_rigid_PUR_POLY_energy_pyrolysis</t>
  </si>
  <si>
    <t>Total_soft_PUR_POLY_energy_pyrolysis</t>
  </si>
  <si>
    <t>Total_PUR_POLY_energy_pyrolysis</t>
  </si>
  <si>
    <t>bottle_PET_POLY_INC_energy_pyrolysis</t>
  </si>
  <si>
    <t>bottle_PE_POLY_INC_energy_pyrolysis</t>
  </si>
  <si>
    <t>bottle_PP_POLY_INC_energy_pyrolysis</t>
  </si>
  <si>
    <t>bottle_PS_POLY_INC_energy_pyrolysis</t>
  </si>
  <si>
    <t>bottle_Oth_POLY_INC_energy_pyrolysis</t>
  </si>
  <si>
    <t>rigid_PET_POLY_INC_energy_pyrolysis</t>
  </si>
  <si>
    <t>rigid_PE_POLY_INC_energy_pyrolysis</t>
  </si>
  <si>
    <t>rigid_PP_POLY_INC_energy_pyrolysis</t>
  </si>
  <si>
    <t>rigid_PS_POLY_INC_energy_pyrolysis</t>
  </si>
  <si>
    <t>rigid_Oth_POLY_INC_energy_pyrolysis</t>
  </si>
  <si>
    <t>soft_PET_POLY_INC_energy_pyrolysis</t>
  </si>
  <si>
    <t>soft_PE_POLY_INC_energy_pyrolysis</t>
  </si>
  <si>
    <t>soft_PP_POLY_INC_energy_pyrolysis</t>
  </si>
  <si>
    <t>soft_PS_POLY_INC_energy_pyrolysis</t>
  </si>
  <si>
    <t>soft_Oth_POLY_INC_energy_pyrolysis</t>
  </si>
  <si>
    <t>Amount of energy in losses produced from purification of bottles (HVR)</t>
  </si>
  <si>
    <t>Amount of energy in losses produced from purification of rigid plastic (HVR)</t>
  </si>
  <si>
    <t>Amount of energy in losses produced from purification of soft plastic (HVR)</t>
  </si>
  <si>
    <t>Amount of energy in losses produced from purification of all plastic (HVR)</t>
  </si>
  <si>
    <t>Total_bottle_POLY_INC_energy_pyrolysis</t>
  </si>
  <si>
    <t>Total_rigid_POLY_INC_energy_pyrolysis</t>
  </si>
  <si>
    <t>Total_soft_POLY_INC_energy_pyrolysis</t>
  </si>
  <si>
    <t>Total_POLY_INC_energy_pyrolysis</t>
  </si>
  <si>
    <t>bottle_PET_POLY_NEW_energy_pyrolysis</t>
  </si>
  <si>
    <t>bottle_PE_POLY_NEW_energy_pyrolysis</t>
  </si>
  <si>
    <t>bottle_PP_POLY_NEW_energy_pyrolysis</t>
  </si>
  <si>
    <t>bottle_PS_POLY_NEW_energy_pyrolysis</t>
  </si>
  <si>
    <t>bottle_Oth_POLY_NEW_energy_pyrolysis</t>
  </si>
  <si>
    <t>rigid_PET_POLY_NEW_energy_pyrolysis</t>
  </si>
  <si>
    <t>rigid_PE_POLY_NEW_energy_pyrolysis</t>
  </si>
  <si>
    <t>rigid_PP_POLY_NEW_energy_pyrolysis</t>
  </si>
  <si>
    <t>rigid_PS_POLY_NEW_energy_pyrolysis</t>
  </si>
  <si>
    <t>rigid_Oth_POLY_NEW_energy_pyrolysis</t>
  </si>
  <si>
    <t>soft_PET_POLY_NEW_energy_pyrolysis</t>
  </si>
  <si>
    <t>soft_PE_POLY_NEW_energy_pyrolysis</t>
  </si>
  <si>
    <t>soft_PP_POLY_NEW_energy_pyrolysis</t>
  </si>
  <si>
    <t>soft_PS_POLY_NEW_energy_pyrolysis</t>
  </si>
  <si>
    <t>soft_Oth_POLY_NEW_energy_pyrolysis</t>
  </si>
  <si>
    <t>Amount of energy in new plastic produced from cracking and polymerization of bottles (NEW)</t>
  </si>
  <si>
    <t>Amount of energy in new plastic produced from cracking and polymerization of rigid plastic (NEW)</t>
  </si>
  <si>
    <t>Amount of energy in new plastic produced from cracking and polymerization of soft plastic (NEW)</t>
  </si>
  <si>
    <t>Amount of energy in new plastic produced from cracking and polymerization of all plastic (NEW)</t>
  </si>
  <si>
    <t>Total_bottle_POLY_NEW_energy_pyrolysis</t>
  </si>
  <si>
    <t>Total_rigid_POLY_NEW_energy_pyrolysis</t>
  </si>
  <si>
    <t>Total_soft_POLY_NEW_energy_pyrolysis</t>
  </si>
  <si>
    <t>Total_POLY_NEW_energy_pyrolysis</t>
  </si>
  <si>
    <t>bottle_PET_INC_tot_energy_pyrolysis</t>
  </si>
  <si>
    <t>bottle_PE_INC_tot_energy_pyrolysis</t>
  </si>
  <si>
    <t>bottle_PP_INC_tot_energy_pyrolysis</t>
  </si>
  <si>
    <t>bottle_PS_INC_tot_energy_pyrolysis</t>
  </si>
  <si>
    <t>bottle_oth_INC_tot_energy_pyrolysis</t>
  </si>
  <si>
    <t>rigid_PET_INC_tot_energy_pyrolysis</t>
  </si>
  <si>
    <t>rigid_PE_INC_tot_energy_pyrolysis</t>
  </si>
  <si>
    <t>rigid_PP_INC_tot_energy_pyrolysis</t>
  </si>
  <si>
    <t>rigid_PS_INC_tot_energy_pyrolysis</t>
  </si>
  <si>
    <t>rigid_Oth_INC_tot_energy_pyrolysis</t>
  </si>
  <si>
    <t>soft_PET_INC_tot_energy_pyrolysis</t>
  </si>
  <si>
    <t>soft_PE_INC_tot_energy_pyrolysis</t>
  </si>
  <si>
    <t>soft_PP_INC_tot_energy_pyrolysis</t>
  </si>
  <si>
    <t>soft_PS_INC_tot_energy_pyrolysis</t>
  </si>
  <si>
    <t>soft_Oth_INC_tot_energy_pyrolysis</t>
  </si>
  <si>
    <t>other_PET_INC_tot_energy_pyrolysis</t>
  </si>
  <si>
    <t>other_PE_INC_tot_energy_pyrolysis</t>
  </si>
  <si>
    <t>other_PP_INC_tot_energy_pyrolysis</t>
  </si>
  <si>
    <t>other_PS_INC_tot_energy_pyrolysis</t>
  </si>
  <si>
    <t>other_Oth_INC_tot_energy_pyrolysis</t>
  </si>
  <si>
    <t>electricity_bottle_energy_pyrolysis</t>
  </si>
  <si>
    <t>electricity_rigid_energy_pyrolysis</t>
  </si>
  <si>
    <t>electricity_soft_energy_pyrolysis</t>
  </si>
  <si>
    <t>electricity_other_energy_pyrolysis</t>
  </si>
  <si>
    <t>electricity_tot_energy_pyrolysis</t>
  </si>
  <si>
    <t>heat_bottle_energy_pyrolysis</t>
  </si>
  <si>
    <t>heat_rigid_energy_pyrolysis</t>
  </si>
  <si>
    <t>heat_soft_energy_pyrolysis</t>
  </si>
  <si>
    <t>heat_other_energy_pyrolysis</t>
  </si>
  <si>
    <t>heat_tot_energy_pyrolysis</t>
  </si>
  <si>
    <t>bottle_PET_INC_ASH_mass_incineration</t>
  </si>
  <si>
    <t>bottle_PE_INC_ASH_mass_incineration</t>
  </si>
  <si>
    <t>bottle_PP_INC_ASH_mass_incineration</t>
  </si>
  <si>
    <t>bottle_PS_INC_ASH_mass_incineration</t>
  </si>
  <si>
    <t>bottle_Oth_INC_ASH_mass_incineration</t>
  </si>
  <si>
    <t>rigid_PET_INC_ASH_mass_incineration</t>
  </si>
  <si>
    <t>rigid_PE_INC_ASH_mass_incineration</t>
  </si>
  <si>
    <t>rigid_PP_INC_ASH_mass_incineration</t>
  </si>
  <si>
    <t>rigid_PS_INC_ASH_mass_incineration</t>
  </si>
  <si>
    <t>rigid_Oth_INC_ASH_mass_incineration</t>
  </si>
  <si>
    <t>soft_PET_INC_ASH_mass_incineration</t>
  </si>
  <si>
    <t>soft_PE_INC_ASH_mass_incineration</t>
  </si>
  <si>
    <t>soft_PP_INC_ASH_mass_incineration</t>
  </si>
  <si>
    <t>soft_PS_INC_ASH_mass_incineration</t>
  </si>
  <si>
    <t>soft_Oth_INC_ASH_mass_incineration</t>
  </si>
  <si>
    <t>other_PET_INC_ASH_mass_incineration</t>
  </si>
  <si>
    <t>other_PE_INC_ASH_mass_incineration</t>
  </si>
  <si>
    <t>other_PP_INC_ASH_mass_incineration</t>
  </si>
  <si>
    <t>other_PS_INC_ASH_mass_incineration</t>
  </si>
  <si>
    <t>other_Oth_INC_ASH_mass_incineration</t>
  </si>
  <si>
    <t>bottle_PET_INC_AIR_mass_incineration</t>
  </si>
  <si>
    <t>bottle_PE_INC_AIR_mass_incineration</t>
  </si>
  <si>
    <t>bottle_PP_INC_AIR_mass_incineration</t>
  </si>
  <si>
    <t>bottle_PS_INC_AIR_mass_incineration</t>
  </si>
  <si>
    <t>bottle_Oth_INC_AIR_mass_incineration</t>
  </si>
  <si>
    <t>rigid_PET_INC_AIR_mass_incineration</t>
  </si>
  <si>
    <t>rigid_PE_INC_AIR_mass_incineration</t>
  </si>
  <si>
    <t>rigid_PP_INC_AIR_mass_incineration</t>
  </si>
  <si>
    <t>rigid_PS_INC_AIR_mass_incineration</t>
  </si>
  <si>
    <t>rigid_Oth_INC_AIR_mass_incineration</t>
  </si>
  <si>
    <t>soft_PET_INC_AIR_mass_incineration</t>
  </si>
  <si>
    <t>soft_PE_INC_AIR_mass_incineration</t>
  </si>
  <si>
    <t>soft_PP_INC_AIR_mass_incineration</t>
  </si>
  <si>
    <t>soft_PS_INC_AIR_mass_incineration</t>
  </si>
  <si>
    <t>soft_Oth_INC_AIR_mass_incineration</t>
  </si>
  <si>
    <t>other_PET_INC_AIR_mass_incineration</t>
  </si>
  <si>
    <t>other_PE_INC_AIR_mass_incineration</t>
  </si>
  <si>
    <t>other_PP_INC_AIR_mass_incineration</t>
  </si>
  <si>
    <t>other_PS_INC_AIR_mass_incineration</t>
  </si>
  <si>
    <t>other_Oth_INC_AIR_mass_incineration</t>
  </si>
  <si>
    <t>bottle_PET_AIR_CCS_mass_incineration</t>
  </si>
  <si>
    <t>bottle_PE_AIR_CCS_mass_incineration</t>
  </si>
  <si>
    <t>bottle_PP_AIR_CCS_mass_incineration</t>
  </si>
  <si>
    <t>bottle_PS_AIR_CCS_mass_incineration</t>
  </si>
  <si>
    <t>bottle_Oth_AIR_CCS_mass_incineration</t>
  </si>
  <si>
    <t>rigid_PET_AIR_CCS_mass_incineration</t>
  </si>
  <si>
    <t>rigid_PE_AIR_CCS_mass_incineration</t>
  </si>
  <si>
    <t>rigid_PP_AIR_CCS_mass_incineration</t>
  </si>
  <si>
    <t>rigid_PS_AIR_CCS_mass_incineration</t>
  </si>
  <si>
    <t>rigid_Oth_AIR_CCS_mass_incineration</t>
  </si>
  <si>
    <t>soft_PET_AIR_CCS_mass_incineration</t>
  </si>
  <si>
    <t>soft_PE_AIR_CCS_mass_incineration</t>
  </si>
  <si>
    <t>soft_PP_AIR_CCS_mass_incineration</t>
  </si>
  <si>
    <t>soft_PS_AIR_CCS_mass_incineration</t>
  </si>
  <si>
    <t>soft_Oth_AIR_CCS_mass_incineration</t>
  </si>
  <si>
    <t>other_PET_AIR_CCS_mass_incineration</t>
  </si>
  <si>
    <t>other_PE_AIR_CCS_mass_incineration</t>
  </si>
  <si>
    <t>other_PP_AIR_CCS_mass_incineration</t>
  </si>
  <si>
    <t>other_PS_AIR_CCS_mass_incineration</t>
  </si>
  <si>
    <t>other_Oth_AIR_CCS_mass_incineration</t>
  </si>
  <si>
    <t>bottle_PET_AIR_LOSS_mass_incineration</t>
  </si>
  <si>
    <t>bottle_PE_AIR_LOSS_mass_incineration</t>
  </si>
  <si>
    <t>bottle_PP_AIR_LOSS_mass_incineration</t>
  </si>
  <si>
    <t>bottle_PS_AIR_LOSS_mass_incineration</t>
  </si>
  <si>
    <t>bottle_Oth_AIR_LOSS_mass_incineration</t>
  </si>
  <si>
    <t>rigid_PET_AIR_LOSS_mass_incineration</t>
  </si>
  <si>
    <t>rigid_PE_AIR_LOSS_mass_incineration</t>
  </si>
  <si>
    <t>rigid_PP_AIR_LOSS_mass_incineration</t>
  </si>
  <si>
    <t>rigid_PS_AIR_LOSS_mass_incineration</t>
  </si>
  <si>
    <t>rigid_Oth_AIR_LOSS_mass_incineration</t>
  </si>
  <si>
    <t>soft_PET_AIR_LOSS_mass_incineration</t>
  </si>
  <si>
    <t>soft_PE_AIR_LOSS_mass_incineration</t>
  </si>
  <si>
    <t>soft_PP_AIR_LOSS_mass_incineration</t>
  </si>
  <si>
    <t>soft_PS_AIR_LOSS_mass_incineration</t>
  </si>
  <si>
    <t>soft_Oth_AIR_LOSS_mass_incineration</t>
  </si>
  <si>
    <t>other_PET_AIR_LOSS_mass_incineration</t>
  </si>
  <si>
    <t>other_PE_AIR_LOSS_mass_incineration</t>
  </si>
  <si>
    <t>other_PP_AIR_LOSS_mass_incineration</t>
  </si>
  <si>
    <t>other_PS_AIR_LOSS_mass_incineration</t>
  </si>
  <si>
    <t>other_Oth_AIR_LOSS_mass_incineration</t>
  </si>
  <si>
    <t>bottle_PET_WG_INC_carbon_incineration</t>
  </si>
  <si>
    <t>bottle_PE_WG_INC_carbon_incineration</t>
  </si>
  <si>
    <t>bottle_PP_WG_INC_carbon_incineration</t>
  </si>
  <si>
    <t>bottle_PS_WG_INC_carbon_incineration</t>
  </si>
  <si>
    <t>bottle_Oth_WG_INC_carbon_incineration</t>
  </si>
  <si>
    <t>rigid_PET_WG_INC_carbon_incineration</t>
  </si>
  <si>
    <t>rigid_PE_WG_INC_carbon_incineration</t>
  </si>
  <si>
    <t>rigid_PP_WG_INC_carbon_incineration</t>
  </si>
  <si>
    <t>rigid_PS_WG_INC_carbon_incineration</t>
  </si>
  <si>
    <t>rigid_Oth_WG_INC_carbon_incineration</t>
  </si>
  <si>
    <t>soft_PE_WG_INC_carbon_incineration</t>
  </si>
  <si>
    <t>soft_PP_WG_INC_carbon_incineration</t>
  </si>
  <si>
    <t>soft_PS_WG_INC_carbon_incineration</t>
  </si>
  <si>
    <t>soft_Oth_WG_INC_carbon_incineration</t>
  </si>
  <si>
    <t>other_PET_WG_INC_carbon_incineration</t>
  </si>
  <si>
    <t>other_PE_WG_INC_carbon_incineration</t>
  </si>
  <si>
    <t>other_PP_WG_INC_carbon_incineration</t>
  </si>
  <si>
    <t>other_PS_WG_INC_carbon_incineration</t>
  </si>
  <si>
    <t>other_Oth_WG_INC_carbon_incineration</t>
  </si>
  <si>
    <t>bottle_PET_INC_ASH_carbon_incineration</t>
  </si>
  <si>
    <t>bottle_PE_INC_ASH_carbon_incineration</t>
  </si>
  <si>
    <t>bottle_PP_INC_ASH_carbon_incineration</t>
  </si>
  <si>
    <t>bottle_PS_INC_ASH_carbon_incineration</t>
  </si>
  <si>
    <t>bottle_Oth_INC_ASH_carbon_incineration</t>
  </si>
  <si>
    <t>rigid_PET_INC_ASH_carbon_incineration</t>
  </si>
  <si>
    <t>rigid_PE_INC_ASH_carbon_incineration</t>
  </si>
  <si>
    <t>rigid_PP_INC_ASH_carbon_incineration</t>
  </si>
  <si>
    <t>rigid_PS_INC_ASH_carbon_incineration</t>
  </si>
  <si>
    <t>rigid_Oth_INC_ASH_carbon_incineration</t>
  </si>
  <si>
    <t>soft_PET_INC_ASH_carbon_incineration</t>
  </si>
  <si>
    <t>soft_PE_INC_ASH_carbon_incineration</t>
  </si>
  <si>
    <t>soft_PP_INC_ASH_carbon_incineration</t>
  </si>
  <si>
    <t>soft_PS_INC_ASH_carbon_incineration</t>
  </si>
  <si>
    <t>soft_Oth_INC_ASH_carbon_incineration</t>
  </si>
  <si>
    <t>other_PET_INC_ASH_carbon_incineration</t>
  </si>
  <si>
    <t>other_PE_INC_ASH_carbon_incineration</t>
  </si>
  <si>
    <t>other_PP_INC_ASH_carbon_incineration</t>
  </si>
  <si>
    <t>other_PS_INC_ASH_carbon_incineration</t>
  </si>
  <si>
    <t>other_Oth_INC_ASH_carbon_incineration</t>
  </si>
  <si>
    <t>bottle_PET_INC_AIR_carbon_incineration</t>
  </si>
  <si>
    <t>bottle_PE_INC_AIR_carbon_incineration</t>
  </si>
  <si>
    <t>bottle_PP_INC_AIR_carbon_incineration</t>
  </si>
  <si>
    <t>bottle_PS_INC_AIR_carbon_incineration</t>
  </si>
  <si>
    <t>bottle_Oth_INC_AIR_carbon_incineration</t>
  </si>
  <si>
    <t>rigid_PET_INC_AIR_carbon_incineration</t>
  </si>
  <si>
    <t>rigid_PE_INC_AIR_carbon_incineration</t>
  </si>
  <si>
    <t>rigid_PP_INC_AIR_carbon_incineration</t>
  </si>
  <si>
    <t>rigid_PS_INC_AIR_carbon_incineration</t>
  </si>
  <si>
    <t>rigid_Oth_INC_AIR_carbon_incineration</t>
  </si>
  <si>
    <t>soft_PET_INC_AIR_carbon_incineration</t>
  </si>
  <si>
    <t>soft_PE_INC_AIR_carbon_incineration</t>
  </si>
  <si>
    <t>soft_PP_INC_AIR_carbon_incineration</t>
  </si>
  <si>
    <t>soft_PS_INC_AIR_carbon_incineration</t>
  </si>
  <si>
    <t>soft_Oth_INC_AIR_carbon_incineration</t>
  </si>
  <si>
    <t>other_PET_INC_AIR_carbon_incineration</t>
  </si>
  <si>
    <t>other_PE_INC_AIR_carbon_incineration</t>
  </si>
  <si>
    <t>other_PP_INC_AIR_carbon_incineration</t>
  </si>
  <si>
    <t>other_PS_INC_AIR_carbon_incineration</t>
  </si>
  <si>
    <t>other_Oth_INC_AIR_carbon_incineration</t>
  </si>
  <si>
    <t>soft_PET_WG_INC_carbon_incineration</t>
  </si>
  <si>
    <t>bottle_PET_AIR_CCS_carbon_incineration</t>
  </si>
  <si>
    <t>bottle_PE_AIR_CCS_carbon_incineration</t>
  </si>
  <si>
    <t>bottle_PP_AIR_CCS_carbon_incineration</t>
  </si>
  <si>
    <t>bottle_PS_AIR_CCS_carbon_incineration</t>
  </si>
  <si>
    <t>bottle_Oth_AIR_CCS_carbon_incineration</t>
  </si>
  <si>
    <t>rigid_PET_AIR_CCS_carbon_incineration</t>
  </si>
  <si>
    <t>rigid_PE_AIR_CCS_carbon_incineration</t>
  </si>
  <si>
    <t>rigid_PP_AIR_CCS_carbon_incineration</t>
  </si>
  <si>
    <t>rigid_PS_AIR_CCS_carbon_incineration</t>
  </si>
  <si>
    <t>rigid_Oth_AIR_CCS_carbon_incineration</t>
  </si>
  <si>
    <t>soft_PET_AIR_CCS_carbon_incineration</t>
  </si>
  <si>
    <t>soft_PE_AIR_CCS_carbon_incineration</t>
  </si>
  <si>
    <t>soft_PP_AIR_CCS_carbon_incineration</t>
  </si>
  <si>
    <t>soft_PS_AIR_CCS_carbon_incineration</t>
  </si>
  <si>
    <t>soft_Oth_AIR_CCS_carbon_incineration</t>
  </si>
  <si>
    <t>other_PET_AIR_CCS_carbon_incineration</t>
  </si>
  <si>
    <t>other_PE_AIR_CCS_carbon_incineration</t>
  </si>
  <si>
    <t>other_PP_AIR_CCS_carbon_incineration</t>
  </si>
  <si>
    <t>other_PS_AIR_CCS_carbon_incineration</t>
  </si>
  <si>
    <t>other_Oth_AIR_CCS_carbon_incineration</t>
  </si>
  <si>
    <t>bottle_PET_AIR_LOSS_carbon_incineration</t>
  </si>
  <si>
    <t>bottle_PE_AIR_LOSS_carbon_incineration</t>
  </si>
  <si>
    <t>bottle_PP_AIR_LOSS_carbon_incineration</t>
  </si>
  <si>
    <t>bottle_PS_AIR_LOSS_carbon_incineration</t>
  </si>
  <si>
    <t>bottle_Oth_AIR_LOSS_carbon_incineration</t>
  </si>
  <si>
    <t>rigid_PET_AIR_LOSS_carbon_incineration</t>
  </si>
  <si>
    <t>rigid_PE_AIR_LOSS_carbon_incineration</t>
  </si>
  <si>
    <t>rigid_PP_AIR_LOSS_carbon_incineration</t>
  </si>
  <si>
    <t>rigid_PS_AIR_LOSS_carbon_incineration</t>
  </si>
  <si>
    <t>rigid_Oth_AIR_LOSS_carbon_incineration</t>
  </si>
  <si>
    <t>soft_PET_AIR_LOSS_carbon_incineration</t>
  </si>
  <si>
    <t>soft_PE_AIR_LOSS_carbon_incineration</t>
  </si>
  <si>
    <t>soft_PP_AIR_LOSS_carbon_incineration</t>
  </si>
  <si>
    <t>soft_PS_AIR_LOSS_carbon_incineration</t>
  </si>
  <si>
    <t>soft_Oth_AIR_LOSS_carbon_incineration</t>
  </si>
  <si>
    <t>other_PET_AIR_LOSS_carbon_incineration</t>
  </si>
  <si>
    <t>other_PE_AIR_LOSS_carbon_incineration</t>
  </si>
  <si>
    <t>other_PP_AIR_LOSS_carbon_incineration</t>
  </si>
  <si>
    <t>other_PS_AIR_LOSS_carbon_incineration</t>
  </si>
  <si>
    <t>other_Oth_AIR_LOSS_carbon_incineration</t>
  </si>
  <si>
    <t>bottle_PET_WG_INC_energy_incineration</t>
  </si>
  <si>
    <t>bottle_PE_WG_INC_energy_incineration</t>
  </si>
  <si>
    <t>bottle_PP_WG_INC_energy_incineration</t>
  </si>
  <si>
    <t>bottle_PS_WG_INC_energy_incineration</t>
  </si>
  <si>
    <t>bottle_Other_WG_INC_energy_incineration</t>
  </si>
  <si>
    <t>rigid_PET_WG_INC_energy_incineration</t>
  </si>
  <si>
    <t>rigid_PE_WG_INC_energy_incineration</t>
  </si>
  <si>
    <t>rigid_PP_WG_INC_energy_incineration</t>
  </si>
  <si>
    <t>rigid_PS_WG_INC_energy_incineration</t>
  </si>
  <si>
    <t>rigid_Other_WG_INC_energy_incineration</t>
  </si>
  <si>
    <t>soft_PET_WG_INC_energy_incineration</t>
  </si>
  <si>
    <t>soft_PE_WG_INC_energy_incineration</t>
  </si>
  <si>
    <t>soft_PP_WG_INC_energy_incineration</t>
  </si>
  <si>
    <t>soft_PS_WG_INC_energy_incineration</t>
  </si>
  <si>
    <t>soft_Other_WG_INC_energy_incineration</t>
  </si>
  <si>
    <t>other_PET_WG_SS_energy_incineration</t>
  </si>
  <si>
    <t>other_PE_WG_SS_energy_incineration</t>
  </si>
  <si>
    <t>other_PP_WG_SS_energy_incineration</t>
  </si>
  <si>
    <t>other_PS_WG_INC_energy_incineration</t>
  </si>
  <si>
    <t>other_Other_WG_INC_energy_incineration</t>
  </si>
  <si>
    <t>electricity_bottle_energy_incineration</t>
  </si>
  <si>
    <t>electricity_rigid_energy_incineration</t>
  </si>
  <si>
    <t>electricity_soft_energy_incineration</t>
  </si>
  <si>
    <t>electricity_other_energy_incineration</t>
  </si>
  <si>
    <t>electricity_tot_energy_incineration</t>
  </si>
  <si>
    <t>heat_bottle_energy_incineration</t>
  </si>
  <si>
    <t>heat_rigid_energy_incineration</t>
  </si>
  <si>
    <t>heat_soft_energy_incineration</t>
  </si>
  <si>
    <t>heat_other_energy_incineration</t>
  </si>
  <si>
    <t>heat_tot_energy_incineration</t>
  </si>
  <si>
    <t>Total_rigid_WG_INC_energy_incineration</t>
  </si>
  <si>
    <t>Total_soft_WG_INC_energy_incineration</t>
  </si>
  <si>
    <t>Total_WG_INC_energy_incineration</t>
  </si>
  <si>
    <t>Total_bottle_WG_INC_energy_incineration</t>
  </si>
  <si>
    <t>Total_WG_INC_carbon_incineration</t>
  </si>
  <si>
    <t>Total_bottle_WG_INC_carbon_incineration</t>
  </si>
  <si>
    <t>Total_rigid_WG_INC_carbon_incineration</t>
  </si>
  <si>
    <t>Total_soft_WG_INC_carbon_incineration</t>
  </si>
  <si>
    <t>Total_other_WG_INC_carbon_incineration</t>
  </si>
  <si>
    <t>Total_bottle_INC_ASH_carbon_incineration</t>
  </si>
  <si>
    <t>Total_rigid_INC_ASH_carbon_incineration</t>
  </si>
  <si>
    <t>Total_soft_INC_ASH_carbon_incineration</t>
  </si>
  <si>
    <t>Total_other_INC_ASH_carbon_incineration</t>
  </si>
  <si>
    <t>Total_INC_ASH_carbon_incineration</t>
  </si>
  <si>
    <t>Total_bottle_INC_AIR_carbon_incineration</t>
  </si>
  <si>
    <t>Total_rigid_INC_AIR_carbon_incineration</t>
  </si>
  <si>
    <t>Total_soft_INC_AIR_carbon_incineration</t>
  </si>
  <si>
    <t>Total_other_INC_AIR_carbon_incineration</t>
  </si>
  <si>
    <t>Total_INC_AIR_carbon_incineration</t>
  </si>
  <si>
    <t>Total_bottle_AIR_CCS_carbon_incineration</t>
  </si>
  <si>
    <t>Total_rigid_AIR_CCS_carbon_incineration</t>
  </si>
  <si>
    <t>Total_soft_AIR_CCS_carbon_incineration</t>
  </si>
  <si>
    <t>Total_other_AIR_CCS_carbon_incineration</t>
  </si>
  <si>
    <t>Total_AIR_CCS_carbon_incineration</t>
  </si>
  <si>
    <t>Total_bottle_AIR_LOSS_carbon_incineration</t>
  </si>
  <si>
    <t>Total_rigid_AIR_LOSS_carbon_incineration</t>
  </si>
  <si>
    <t>Total_soft_AIR_LOSS_carbon_incineration</t>
  </si>
  <si>
    <t>Total_other_AIR_LOSS_carbon_incineration</t>
  </si>
  <si>
    <t>Total_AIR_LOSS_carbon_incineration</t>
  </si>
  <si>
    <t>Total_bottle_INC_ASH_mass_incineration</t>
  </si>
  <si>
    <t>Total_rigid_INC_ASH_mass_incineration</t>
  </si>
  <si>
    <t>Total_soft_INC_ASH_mass_incineration</t>
  </si>
  <si>
    <t>Total_other_INC_ASH_mass_incineration</t>
  </si>
  <si>
    <t>Total_INC_ASH_mass_incineration</t>
  </si>
  <si>
    <t>Total_bottle_INC_AIR_mass_incineration</t>
  </si>
  <si>
    <t>Total_rigid_INC_AIR_mass_incineration</t>
  </si>
  <si>
    <t>Total_soft_INC_AIR_mass_incineration</t>
  </si>
  <si>
    <t>Total_other_INC_AIR_mass_incineration</t>
  </si>
  <si>
    <t>Total_INC_AIR_mass_incineration</t>
  </si>
  <si>
    <t>Total_bottle_AIR_CCS_mass_incineration</t>
  </si>
  <si>
    <t>Total_rigid_AIR_CCS_mass_incineration</t>
  </si>
  <si>
    <t>Total_soft_AIR_CCS_mass_incineration</t>
  </si>
  <si>
    <t>Total_other_AIR_CCS_mass_incineration</t>
  </si>
  <si>
    <t>Total_AIR_CCS_mass_incineration</t>
  </si>
  <si>
    <t>Total_bottle_AIR_LOSS_mass_incineration</t>
  </si>
  <si>
    <t>Total_rigid_AIR_LOSS_mass_incineration</t>
  </si>
  <si>
    <t>Total_soft_AIR_LOSS_mass_incineration</t>
  </si>
  <si>
    <t>Total_other_AIR_LOSS_mass_incineration</t>
  </si>
  <si>
    <t>Total_AIR_LOSS_mass_incineration</t>
  </si>
  <si>
    <t>bottle_PET_WG_INC_mass_incineration</t>
  </si>
  <si>
    <t>bottle_PE_WG_INC_mass_incineration</t>
  </si>
  <si>
    <t>bottle_PP_WG_INC_mass_incineration</t>
  </si>
  <si>
    <t>bottle_PS_WG_INC_mass_incineration</t>
  </si>
  <si>
    <t>bottle_Oth_WG_INC_mass_incineration</t>
  </si>
  <si>
    <t>rigid_PET_WG_INC_mass_incineration</t>
  </si>
  <si>
    <t>rigid_PE_WG_INC_mass_incineration</t>
  </si>
  <si>
    <t>rigid_PP_WG_INC_mass_incineration</t>
  </si>
  <si>
    <t>rigid_PS_WG_INC_mass_incineration</t>
  </si>
  <si>
    <t>rigid_Oth_WG_INC_mass_incineration</t>
  </si>
  <si>
    <t>soft_PET_WG_INC_mass_incineration</t>
  </si>
  <si>
    <t>soft_PE_WG_INC_mass_incineration</t>
  </si>
  <si>
    <t>soft_PP_WG_INC_mass_incineration</t>
  </si>
  <si>
    <t>soft_PS_WG_INC_mass_incineration</t>
  </si>
  <si>
    <t>soft_Oth_WG_INC_mass_incineration</t>
  </si>
  <si>
    <t>other_PET_WG_INC_mass_incineration</t>
  </si>
  <si>
    <t>other_PE_WG_INC_mass_incineration</t>
  </si>
  <si>
    <t>other_PP_WG_INC_mass_incineration</t>
  </si>
  <si>
    <t>other_PS_WG_INC_mass_incineration</t>
  </si>
  <si>
    <t>other_Oth_WG_INC_mass_incineration</t>
  </si>
  <si>
    <t>No carbon in ash</t>
  </si>
  <si>
    <t>Amount of all plastic that has been incinerated to ash (ASH)</t>
  </si>
  <si>
    <t>Amount of all plastic that has been incinerated to flue gas (AIR)</t>
  </si>
  <si>
    <t>Amount of all carbon that has been incinerated to ash (ASH)</t>
  </si>
  <si>
    <t>Amount of all carbon that has been emitted to the air (AIR)</t>
  </si>
  <si>
    <t>Amount of all carbon that has been compressed (CCS)</t>
  </si>
  <si>
    <t>Amount of all carbon that has been emitted to the air (LOSS)</t>
  </si>
  <si>
    <t>Civancik-Uslu et al. (2021)</t>
  </si>
  <si>
    <t>Marie's excel (average)</t>
  </si>
  <si>
    <t xml:space="preserve">Min </t>
  </si>
  <si>
    <t>Source-separation</t>
  </si>
  <si>
    <t>Collection and mechanical recycling</t>
  </si>
  <si>
    <t>TC_bottle_PET_SS_COL</t>
  </si>
  <si>
    <t>TC_bottle_PE_SS_COL</t>
  </si>
  <si>
    <t>TC_bottle_PP_SS_COL</t>
  </si>
  <si>
    <t>TC_rigid_PET_SS_COL</t>
  </si>
  <si>
    <t>TC_rigid_PE_SS_COL</t>
  </si>
  <si>
    <t>TC_rigid_PP_SS_COL</t>
  </si>
  <si>
    <t>TC_soft_PET_SS_COL</t>
  </si>
  <si>
    <t>TC_soft_PE_SS_COL</t>
  </si>
  <si>
    <t>TC_soft_PP_SS_COL</t>
  </si>
  <si>
    <t>TC_bottle_PET_WG_SS</t>
  </si>
  <si>
    <t>TC_bottle_PE_WG_SS</t>
  </si>
  <si>
    <t>TC_bottle_PP_WG_SS</t>
  </si>
  <si>
    <t>TC_rigid_PET_WG_SS</t>
  </si>
  <si>
    <t>TC_rigid_PE_WG_SS</t>
  </si>
  <si>
    <t>TC_rigid_PP_WG_SS</t>
  </si>
  <si>
    <t>TC_soft_PET_WG_SS</t>
  </si>
  <si>
    <t>TC_soft_PE_WG_SS</t>
  </si>
  <si>
    <t>TC_soft_PP_WG_SS</t>
  </si>
  <si>
    <t xml:space="preserve">Plastic_fraction </t>
  </si>
  <si>
    <t xml:space="preserve">Plastic_fraction_bottle </t>
  </si>
  <si>
    <t xml:space="preserve">Plastic_fraction_rigid </t>
  </si>
  <si>
    <t xml:space="preserve">Plastic_fraction_soft </t>
  </si>
  <si>
    <t xml:space="preserve">Plastic_fraction_other </t>
  </si>
  <si>
    <t xml:space="preserve">bottle_PET </t>
  </si>
  <si>
    <t xml:space="preserve">bottle_PE </t>
  </si>
  <si>
    <t xml:space="preserve">bottle_PP </t>
  </si>
  <si>
    <t xml:space="preserve">bottle_PS </t>
  </si>
  <si>
    <t xml:space="preserve">bottle_Oth </t>
  </si>
  <si>
    <t xml:space="preserve">rigid_PET </t>
  </si>
  <si>
    <t xml:space="preserve">rigid_PE </t>
  </si>
  <si>
    <t xml:space="preserve">rigid_PP </t>
  </si>
  <si>
    <t xml:space="preserve">rigid_PS </t>
  </si>
  <si>
    <t xml:space="preserve">rigid_Oth </t>
  </si>
  <si>
    <t xml:space="preserve">soft_PET </t>
  </si>
  <si>
    <t xml:space="preserve">soft_PE </t>
  </si>
  <si>
    <t xml:space="preserve">soft_PP </t>
  </si>
  <si>
    <t xml:space="preserve">soft_PS </t>
  </si>
  <si>
    <t xml:space="preserve">soft_Oth </t>
  </si>
  <si>
    <t xml:space="preserve">other_PET </t>
  </si>
  <si>
    <t xml:space="preserve">other_PE </t>
  </si>
  <si>
    <t xml:space="preserve">other_PP </t>
  </si>
  <si>
    <t xml:space="preserve">other_PS </t>
  </si>
  <si>
    <t xml:space="preserve">other_Oth </t>
  </si>
  <si>
    <t xml:space="preserve">TC_PE_PYRO_liquid </t>
  </si>
  <si>
    <t xml:space="preserve">TC_PE_PYRO_solid </t>
  </si>
  <si>
    <t xml:space="preserve">TC_PP_PYRO_liquid </t>
  </si>
  <si>
    <t xml:space="preserve">TC_PP_PYRO_solid </t>
  </si>
  <si>
    <t xml:space="preserve">TC_mixed_PYRO_liquid </t>
  </si>
  <si>
    <t xml:space="preserve">TC_mixed_PYRO_solid </t>
  </si>
  <si>
    <t xml:space="preserve">TC_mixed_PUR_POLY </t>
  </si>
  <si>
    <t xml:space="preserve">TC_mixed_PUR_HVR </t>
  </si>
  <si>
    <t xml:space="preserve">TC_mixed_POLY_NEW </t>
  </si>
  <si>
    <t xml:space="preserve">TC_bottle_PET_COL_SOR </t>
  </si>
  <si>
    <t xml:space="preserve">TC_bottle_PE_COL_SOR </t>
  </si>
  <si>
    <t xml:space="preserve">TC_bottle_PP_COL_SOR </t>
  </si>
  <si>
    <t xml:space="preserve">TC_rigid_PET_COL_SOR </t>
  </si>
  <si>
    <t xml:space="preserve">TC_rigid_PE_COL_SOR </t>
  </si>
  <si>
    <t xml:space="preserve">TC_rigid_PP_COL_SOR </t>
  </si>
  <si>
    <t xml:space="preserve">TC_soft_PET_COL_SOR </t>
  </si>
  <si>
    <t xml:space="preserve">TC_soft_PE_COL_SOR </t>
  </si>
  <si>
    <t xml:space="preserve">TC_soft_PP_COL_SOR </t>
  </si>
  <si>
    <t xml:space="preserve">TC_bottle_PET_SOR_RE </t>
  </si>
  <si>
    <t xml:space="preserve">TC_bottle_PE_SOR_RE </t>
  </si>
  <si>
    <t xml:space="preserve">TC_bottle_PP_SOR_RE </t>
  </si>
  <si>
    <t xml:space="preserve">TC_rigid_PET_SOR_RE </t>
  </si>
  <si>
    <t xml:space="preserve">TC_rigid_PE_SOR_RE </t>
  </si>
  <si>
    <t xml:space="preserve">TC_rigid_PP_SOR_RE </t>
  </si>
  <si>
    <t xml:space="preserve">TC_soft_PET_SOR_RE </t>
  </si>
  <si>
    <t xml:space="preserve">TC_soft_PE_SOR_RE </t>
  </si>
  <si>
    <t xml:space="preserve">TC_soft_PP_SOR_RE </t>
  </si>
  <si>
    <t xml:space="preserve">Transfer coefficient of bottle PE from waste generation that is source-separated </t>
  </si>
  <si>
    <t xml:space="preserve">Transfer coefficient of bottle PP from waste generation that is source-separated </t>
  </si>
  <si>
    <t xml:space="preserve">Transfer coefficient of rigid PET from waste generation that is source-separated </t>
  </si>
  <si>
    <t xml:space="preserve">Transfer coefficient of rigid PE from waste generation that is source-separated </t>
  </si>
  <si>
    <t xml:space="preserve">Transfer coefficient of rigid PP from waste generation that is source-separated </t>
  </si>
  <si>
    <t xml:space="preserve">Transfer coefficient of soft PET from waste generation that is source-separated </t>
  </si>
  <si>
    <t xml:space="preserve">Transfer coefficient of soft PE from waste generation that is source-separated </t>
  </si>
  <si>
    <t xml:space="preserve">Transfer coefficient of soft PP from waste generation that is source-separated </t>
  </si>
  <si>
    <t xml:space="preserve">Transfer coefficient of bottle PET from waste generation that is source-separated </t>
  </si>
  <si>
    <t>rigid_Oth_SOR_RE_mass_mechanical</t>
  </si>
  <si>
    <t>Carbon capture efficiency</t>
  </si>
  <si>
    <t>Process overview</t>
  </si>
  <si>
    <t>Incineration and carbon capture</t>
  </si>
  <si>
    <t>Amount of fossile carbon contained in 1 kg of plastic bottle waste</t>
  </si>
  <si>
    <t>Amount of fossile carbon contained in 1 kg of rigid plastic waste</t>
  </si>
  <si>
    <t>Amount of fossile carbon contained in 1 kg of soft plastic waste</t>
  </si>
  <si>
    <t>Amount of fossile carbon contained in 1 kg of non recyclable plastic waste</t>
  </si>
  <si>
    <t>CC_efficiency</t>
  </si>
  <si>
    <t>Carbon and energy content</t>
  </si>
  <si>
    <t>* The collection and sorting process are split into two processes in the model. The collection process has two outputs; one going to sorting and one to export. However, the output going to export is assumed to be sorted as well.</t>
  </si>
  <si>
    <t>Structure</t>
  </si>
  <si>
    <t>Each  treatment pathway provides a mass, carbon and energy balance which are divided using following colors:</t>
  </si>
  <si>
    <t>bottle_PET_SS_PRE_carbon_pyrolysis</t>
  </si>
  <si>
    <t>Total_other_WG_INC_energy_incineration</t>
  </si>
  <si>
    <t>Conversion rate between amount of electricity recovered in incineration process with and without carbon capture</t>
  </si>
  <si>
    <t>Conversion rate between amount of heat recovered in incineration process with and without carbon capture</t>
  </si>
  <si>
    <t>Transfer coefficient of PE that is pyrolized to liquid</t>
  </si>
  <si>
    <t>Transfer coefficient of PE that is pyrolized to solid</t>
  </si>
  <si>
    <t>Transfer coefficient of PP that is pyrolized to liquid</t>
  </si>
  <si>
    <t>Transfer coefficient of PP that is pyrolized to solid</t>
  </si>
  <si>
    <t>Transfer coefficient of mixed plastic that is pyrolized to liquid</t>
  </si>
  <si>
    <t>Transfer coefficient of mixed plastic that is pyrolized to solid</t>
  </si>
  <si>
    <t>TC_PE_PRE_PYRO</t>
  </si>
  <si>
    <t>TC_PE_soft_PRE_PYRO</t>
  </si>
  <si>
    <t>TC_PP_PRE_PYRO</t>
  </si>
  <si>
    <t>TC_PP_rigid_PRE_PYRO</t>
  </si>
  <si>
    <t>TC_mixed_PRE_PYRO</t>
  </si>
  <si>
    <t>Transfer coefficient of PE that is presorted for pyrolysis</t>
  </si>
  <si>
    <t>Transfer coefficient of soft PE that is presorted for pyrolysis</t>
  </si>
  <si>
    <t>Transfer coefficient of PP that is presorted for pyrolysis</t>
  </si>
  <si>
    <t>Transfer coefficient of rigid PP that is presorted for pyrolysis</t>
  </si>
  <si>
    <t>Transfer coefficient of mixed plastic that is presorted for pyrolysis</t>
  </si>
  <si>
    <t>Transfer coefficient of PE that is purified for polymerization</t>
  </si>
  <si>
    <t>Transfer coefficient of PE that is turned to heavy vacuum residues from purifiaction</t>
  </si>
  <si>
    <t>Transfer coefficient of PE that is transformed to new plastic during polymerization</t>
  </si>
  <si>
    <t>other_PET_SS_COL_mass_mechanical</t>
  </si>
  <si>
    <t>other_PE_SS_COL_mass_mechanical</t>
  </si>
  <si>
    <t>other_PP_SS_COL_mass_mechanical</t>
  </si>
  <si>
    <t>other_PS_SS_COL_mass_mechanical</t>
  </si>
  <si>
    <t>other_Oth_SS_COL_mass_mechanical</t>
  </si>
  <si>
    <t>other_PET_SS_INC_mass_mechanical</t>
  </si>
  <si>
    <t>other_PE_SS_INC_mass_mechanical</t>
  </si>
  <si>
    <t>other_PP_SS_INC_mass_mechanical</t>
  </si>
  <si>
    <t>other_PS_SS_INC_mass_mechanical</t>
  </si>
  <si>
    <t>other_Oth_SS_INC_mass_mechanical</t>
  </si>
  <si>
    <t>Check</t>
  </si>
  <si>
    <t>Total_other_SS_COL_mass_mechanical</t>
  </si>
  <si>
    <t>Amount of other plastic that has been source-separated for collection (COL)</t>
  </si>
  <si>
    <t>Total_other_SS_INC_mass_mechanical</t>
  </si>
  <si>
    <t>Amount of other plastic that has been source-separated for incineration (INC)</t>
  </si>
  <si>
    <t>bottle_PET_SS_INC_carbon_mechanical</t>
  </si>
  <si>
    <t>bottle_PE_SS_INC_carbon_mechanical</t>
  </si>
  <si>
    <t>bottle_PP_SS_INC_carbon_mechanical</t>
  </si>
  <si>
    <t>bottle_PS_SS_INC_carbon_mechanical</t>
  </si>
  <si>
    <t>bottle_Oth_SS_INC_carbon_mechanical</t>
  </si>
  <si>
    <t>rigid_PET_SS_INC_carbon_mechanical</t>
  </si>
  <si>
    <t>rigid_PE_SS_INC_carbon_mechanical</t>
  </si>
  <si>
    <t>rigid_PP_SS_INC_carbon_mechanical</t>
  </si>
  <si>
    <t>rigid_PS_SS_INC_carbon_mechanical</t>
  </si>
  <si>
    <t>rigid_Oth_SS_INC_carbon_mechanical</t>
  </si>
  <si>
    <t>soft_PET_SS_INC_carbon_mechanical</t>
  </si>
  <si>
    <t>soft_PE_SS_INC_carbon_mechanical</t>
  </si>
  <si>
    <t>soft_PP_SS_INC_carbon_mechanical</t>
  </si>
  <si>
    <t>soft_PS_SS_INC_carbon_mechanical</t>
  </si>
  <si>
    <t>soft_Oth_SS_INC_carbon_mechanical</t>
  </si>
  <si>
    <t>other_PET_SS_INC_carbon_mechanical</t>
  </si>
  <si>
    <t>other_PE_SS_INC_carbon_mechanical</t>
  </si>
  <si>
    <t>other_PP_SS_INC_carbon_mechanical</t>
  </si>
  <si>
    <t>other_PS_SS_INC_carbon_mechanical</t>
  </si>
  <si>
    <t>other_Oth_SS_INC_carbon_mechanical</t>
  </si>
  <si>
    <t>other_PET_SS_COL_carbon_mechanical</t>
  </si>
  <si>
    <t>other_PE_SS_COL_carbon_mechanical</t>
  </si>
  <si>
    <t>other_PP_SS_COL_carbon_mechanical</t>
  </si>
  <si>
    <t>other_PS_SS_COL_carbon_mechanical</t>
  </si>
  <si>
    <t>other_Oth_SS_COL_carbon_mechanical</t>
  </si>
  <si>
    <t>Total_other_SS_INC_carbon_mechanical</t>
  </si>
  <si>
    <t>Amount of carbon in other plastic that has been source-separated for collection (COL)</t>
  </si>
  <si>
    <t>other_PET_SS_COL_energy_mechanical</t>
  </si>
  <si>
    <t>other_PE_SS_COL_energy_mechanical</t>
  </si>
  <si>
    <t>other_PP_SS_COL_energy_mechanical</t>
  </si>
  <si>
    <t>other_PS_SS_COL_energy_mechanical</t>
  </si>
  <si>
    <t>other_Oth_SS_COL_energy_mechanical</t>
  </si>
  <si>
    <t>other_PET_SS_energy_mechanical</t>
  </si>
  <si>
    <t>other_PE_SS_energy_mechanical</t>
  </si>
  <si>
    <t>other_PP_SS_energy_mechanical</t>
  </si>
  <si>
    <t>other_PS_SS_energy_mechanical</t>
  </si>
  <si>
    <t>other_Oth_SS_energy_mechanical</t>
  </si>
  <si>
    <t>Amount of energy in other plastic that has been source-separated for collection (COL)</t>
  </si>
  <si>
    <t>Total_bottle_SS_INC_energy_mechanical</t>
  </si>
  <si>
    <t>Total_rigid_SS_INC_energy_mechanical</t>
  </si>
  <si>
    <t>Total_soft_SS_INC_energy_mechanical</t>
  </si>
  <si>
    <t>Total_other_SS_INC_energy_mechanical</t>
  </si>
  <si>
    <t>Total_SS_INC_energy_mechanical</t>
  </si>
  <si>
    <t>Total_bottle_SS_COL_energy_mechanical</t>
  </si>
  <si>
    <t>Total_rigid_SS_COL_energy_mechanical</t>
  </si>
  <si>
    <t>Total_soft_SS_COL_energy_mechanical</t>
  </si>
  <si>
    <t>Total_other_SS_COL_energy_mechanical</t>
  </si>
  <si>
    <t>Total_SS_COL_energy_mechanical</t>
  </si>
  <si>
    <t>soft_Oth_SOR_RE_energy_mechanical</t>
  </si>
  <si>
    <t>Heat and energy use</t>
  </si>
  <si>
    <t>RE_electricity_PET_mechanical</t>
  </si>
  <si>
    <t>RE_heat_PET_mechanical</t>
  </si>
  <si>
    <t xml:space="preserve">RE_electricity_PE_mechanical </t>
  </si>
  <si>
    <t>RE_heat_PE_mechanical</t>
  </si>
  <si>
    <t>RE_electricity_PP_mechanical</t>
  </si>
  <si>
    <t>RE_heat_PP_mechanical</t>
  </si>
  <si>
    <t>SOR_electricity_PET_mechanical</t>
  </si>
  <si>
    <t>SOR_heat_PET_mechanical</t>
  </si>
  <si>
    <t xml:space="preserve">SOR_electricity_PE_mechanical </t>
  </si>
  <si>
    <t>SOR_heat_PE_mechanical</t>
  </si>
  <si>
    <t>SOR_electricity_PP_mechanical</t>
  </si>
  <si>
    <t>SOR_heat_PP_mechanical</t>
  </si>
  <si>
    <t>SOR_energy_PET_mechanical</t>
  </si>
  <si>
    <t>SOR_energy_PE_mechanical</t>
  </si>
  <si>
    <t>SOR_energy_PP_mechanical</t>
  </si>
  <si>
    <t>Best case / worst case</t>
  </si>
  <si>
    <t>SOR_electricity_PS_mechanical</t>
  </si>
  <si>
    <t>SOR_heat_PS_mechanical</t>
  </si>
  <si>
    <t>RE_electricity_PS_mechanical</t>
  </si>
  <si>
    <t>RE_heat_PS_mechanical</t>
  </si>
  <si>
    <t>PYRO_electricity_PE_pyrolysis</t>
  </si>
  <si>
    <t>PYRO_heat_PE_pyrolysis</t>
  </si>
  <si>
    <t>PYRO_electricity_PP_pyrolysis</t>
  </si>
  <si>
    <t>PYRO_heat_PP_pyrolysis</t>
  </si>
  <si>
    <t>PYRO_electricity_PS_pyrolysis</t>
  </si>
  <si>
    <t>PYRO_heat_PS_pyrolysis</t>
  </si>
  <si>
    <t>RE_energy_PET_mechanical</t>
  </si>
  <si>
    <t>RE_energy_PE_mechanical</t>
  </si>
  <si>
    <t>RE_energy_PP_mechanical</t>
  </si>
  <si>
    <t>SOR_energy_PS_mechanical</t>
  </si>
  <si>
    <t>RE_energy_PS_mechanical</t>
  </si>
  <si>
    <t>PYRO_energy_PE_pyrolysis</t>
  </si>
  <si>
    <t>PYRO_energy_PP_pyrolysis</t>
  </si>
  <si>
    <t>PYRO_energy_PS_pyrolysis</t>
  </si>
  <si>
    <t>other_PET  * Total_WG</t>
  </si>
  <si>
    <t>other_PE  * Total_WG</t>
  </si>
  <si>
    <t>other_PP  * Total_WG</t>
  </si>
  <si>
    <t>other_PS  * Total_WG</t>
  </si>
  <si>
    <t>other_Oth  * Total_WG</t>
  </si>
  <si>
    <t>other_PET_SS_PRE_mass_pyrolysis</t>
  </si>
  <si>
    <t>other_PE_SS_PRE_mass_pyrolysis</t>
  </si>
  <si>
    <t>other_PP_SS_PRE_mass_pyrolysis</t>
  </si>
  <si>
    <t>other_PS_SS_PRE_mass_pyrolysis</t>
  </si>
  <si>
    <t>other_Oth_SS_PRE_mass_pyrolysis</t>
  </si>
  <si>
    <t>other_PET_SS_INC_mass_pyrolysis</t>
  </si>
  <si>
    <t>other_PE_SS_INC_mass_pyrolysis</t>
  </si>
  <si>
    <t>other_PP_SS_INC_mass_pyrolysis</t>
  </si>
  <si>
    <t>other_PS_SS_INC_mass_pyrolysis</t>
  </si>
  <si>
    <t>other_Oth_SS_INC_mass_pyrolysis</t>
  </si>
  <si>
    <t>Total_other_SS_PRE_mass_pyrolysis</t>
  </si>
  <si>
    <t>Total_other_SS_INC_mass_pyrolysis</t>
  </si>
  <si>
    <t>Amount of other plastic that has been source-separated for presorting (PRE)</t>
  </si>
  <si>
    <t>other_PET_SS_PRE_carbon_pyrolysis</t>
  </si>
  <si>
    <t>other_PE_SS_PRE_carbon_pyrolysis</t>
  </si>
  <si>
    <t>other_PP_SS_PRE_carbon_pyrolysis</t>
  </si>
  <si>
    <t>other_PS_SS_PRE_carbon_pyrolysis</t>
  </si>
  <si>
    <t>other_Oth_SS_PRE_carbon_pyrolysis</t>
  </si>
  <si>
    <t>other_PET_SS_INC_carbon_pyrolysis</t>
  </si>
  <si>
    <t>other_PE_SS_INC_carbon_pyrolysis</t>
  </si>
  <si>
    <t>other_PP_SS_INC_carbon_pyrolysis</t>
  </si>
  <si>
    <t>other_PS_SS_INC_carbon_pyrolysis</t>
  </si>
  <si>
    <t>other_Oth_SS_INC_carbon_pyrolysis</t>
  </si>
  <si>
    <t>Total_other_SS_PRE_carbon_pyrolysis</t>
  </si>
  <si>
    <t>Amount of carbon in other plastic that has been source-separated for presorting (PRE)</t>
  </si>
  <si>
    <t>SOR_electricity_pyrolysis</t>
  </si>
  <si>
    <t>Faraca, G., Martinez-Sanchez, V., Astrup, T. F. (2019). Environmental life cycle cost assessment: recycling of hard plastic waste collected at Danish recycling centres. Resources, Conservationand Recycling, 143(October 2018):299–309.</t>
  </si>
  <si>
    <t>Civancik-Uslu, D., Nhu, T. T., Van Gorp, B., Kreso-vic, U., Larrain, M., Billen, P., Ragaert, K., DeMeester, S., Dewulf, J., and Huysveld, S. (2021).Moving from linear to circular household plas-tic packaging in Belgium: Prospective life cycleassessment of mechanical and thermochemicalrecycling.Resources, Conservation and Recy-cling, 171(March):105633.</t>
  </si>
  <si>
    <t>POLY_electricity_pyrolysis</t>
  </si>
  <si>
    <t>PYRO_electricity_mixed_pyrolysis</t>
  </si>
  <si>
    <t>kg</t>
  </si>
  <si>
    <t>kwh/kg MPw</t>
  </si>
  <si>
    <t>MJ/kg MPW</t>
  </si>
  <si>
    <t xml:space="preserve">MST/DTU Emballage statistik </t>
  </si>
  <si>
    <t>POLY_energy_pyrolysis</t>
  </si>
  <si>
    <t>INC_furnace_electricity_incineration</t>
  </si>
  <si>
    <t>INC_condensation_electricity_incineration</t>
  </si>
  <si>
    <t>INC_energy_incineration</t>
  </si>
  <si>
    <t>CC_energy_incineration</t>
  </si>
  <si>
    <t>CC_electricity_incineration</t>
  </si>
  <si>
    <t>Pyrolysis (PYRO) / Glycolysis (GLYCO)</t>
  </si>
  <si>
    <t>Output from pyrolysis (PYRO) / Glycolysis (GLYCO)</t>
  </si>
  <si>
    <t>Total output from pyrolysis and glycolysis</t>
  </si>
  <si>
    <t>Presorting, pyrolysis and glycolysis</t>
  </si>
  <si>
    <t>Transfer coefficient of PET yield from glycolysis</t>
  </si>
  <si>
    <t>TC_PET_GLYCO_NEW</t>
  </si>
  <si>
    <t>TC_PET_PRE_GLYCO</t>
  </si>
  <si>
    <t>Transfer coefficient of PET that is sorted and pretreated for glycolysis</t>
  </si>
  <si>
    <t xml:space="preserve">Shen,  L.,  Worrell,  E.,  and  Patel,  M.  K.  (2010). Open-loop  recycling:   A  LCA  case  study  ofPET bottle-to-fibre recycling. Resources, Conservation  and  Recycling, </t>
  </si>
  <si>
    <t>Results</t>
  </si>
  <si>
    <t>Input material</t>
  </si>
  <si>
    <t>Recyclate</t>
  </si>
  <si>
    <t>Amount sorted for recycling</t>
  </si>
  <si>
    <t>Input carbon</t>
  </si>
  <si>
    <t>Carbon being sent to incineration</t>
  </si>
  <si>
    <t>Carbon lost</t>
  </si>
  <si>
    <t xml:space="preserve">Carbon captured per input </t>
  </si>
  <si>
    <t>Energy consumption</t>
  </si>
  <si>
    <t>Energy production</t>
  </si>
  <si>
    <t>Compressed carbon</t>
  </si>
  <si>
    <t>Total_input_energy_PET</t>
  </si>
  <si>
    <t>Total_input_energy_PE</t>
  </si>
  <si>
    <t>Total_input_energy_PP</t>
  </si>
  <si>
    <t>Total_input_energy_PS</t>
  </si>
  <si>
    <t xml:space="preserve">MJ </t>
  </si>
  <si>
    <t>Input energy content</t>
  </si>
  <si>
    <t>INC_APC_electricity_incineration</t>
  </si>
  <si>
    <t>Incinerated residues</t>
  </si>
  <si>
    <t>Flue gas</t>
  </si>
  <si>
    <t>Gas</t>
  </si>
  <si>
    <t>Recycling rate w/ compressed carbon</t>
  </si>
  <si>
    <t>Recycling rate w/o compressed carbon</t>
  </si>
  <si>
    <t>Recycling rates per polymer</t>
  </si>
  <si>
    <t xml:space="preserve">PE </t>
  </si>
  <si>
    <t>Polymer</t>
  </si>
  <si>
    <t>Other outputs</t>
  </si>
  <si>
    <t>Incineration w/o carbon capture</t>
  </si>
  <si>
    <t>Process Diagram</t>
  </si>
  <si>
    <t>Scenario A: Incineration</t>
  </si>
  <si>
    <t>Scenario B: Mechanical recycling</t>
  </si>
  <si>
    <t>Scenario C: Chemical recycling</t>
  </si>
  <si>
    <t>PET is the only polymer which is not sent to pyrolysis. Instead it is sent to glycolysis (see process diagram, Figure 1, in 'info, structure, parameters').</t>
  </si>
  <si>
    <t>*MPW = municipal plastic waste</t>
  </si>
  <si>
    <t xml:space="preserve">Amount of electricity used for polymerization 1 kg of plastic during pyrolysis </t>
  </si>
  <si>
    <t>Amount of electricity used for pyrolysis of 1 kg of mixed plastics</t>
  </si>
  <si>
    <t>Amount of electricity used to power the furnace during the incineration of 1 kg of plastic</t>
  </si>
  <si>
    <t>Amount of electricity used to power the air pollution control during the incineration of 1 kg of plastic</t>
  </si>
  <si>
    <t>Amount of electricity used for flue gas condensation during the incineration of 1 kg of plastic</t>
  </si>
  <si>
    <t>Amount of electricity used for carbon capture during the incineration of 1 kg of plastic</t>
  </si>
  <si>
    <t>Amount of electricity used for sorting of 1 kg of PET for mechanical recycling</t>
  </si>
  <si>
    <t>Amount of heat used for sorting of 1 kg of PET for mechanical recycling</t>
  </si>
  <si>
    <t>Amount of electricity used for sorting of 1 kg of PE for mechanical recycling</t>
  </si>
  <si>
    <t>Amount of heat used for sorting of 1 kg of PE for mechanical recycling</t>
  </si>
  <si>
    <t>Amount of electricity used for sorting of 1 kg of PP for mechanical recycling</t>
  </si>
  <si>
    <t>Amount of heat used for sorting of 1 kg of PP for mechanical recycling</t>
  </si>
  <si>
    <t>Amount of electricity used for sorting of 1 kg of PS for mechanical recycling</t>
  </si>
  <si>
    <t>Amount of heat used for sorting of 1 kg of PS for mechanical recycling</t>
  </si>
  <si>
    <t>Amount of electricity used for reporocessing of 1 kg of PET during mechanical recycling</t>
  </si>
  <si>
    <t>Amount of heat used for reporocessing of 1 kg of PET during mechanical recycling</t>
  </si>
  <si>
    <t>Amount of electricity used for reporocessing of 1 kg of PE during mechanical recycling</t>
  </si>
  <si>
    <t>Amount of heat used for reporocessing of 1 kg of PE during mechanical recycling</t>
  </si>
  <si>
    <t xml:space="preserve">Amount of electricity used for reporocessing of 1 kg of PP during mechanical recycling </t>
  </si>
  <si>
    <t xml:space="preserve">Amount of heat used for reporocessing of 1 kg of PP during mechanical recycling </t>
  </si>
  <si>
    <t>Amount of electricity used for reporocessing of 1 kg of PS during mechanical recycling</t>
  </si>
  <si>
    <t>Amount of heat used for reporocessing of 1 kg of PS during mechanical recycling</t>
  </si>
  <si>
    <t>Amount of electricity used for sorting 1 kg of plastics for pyrolysis</t>
  </si>
  <si>
    <t>Amount of electricity used for pyrolysis of 1 kg of PE</t>
  </si>
  <si>
    <t>Amount of heat used for sorting for pyrolysis of 1 kg of PE</t>
  </si>
  <si>
    <t>Amount of electricity used for pyrolysis of 1 kg of PP</t>
  </si>
  <si>
    <t>Amount of heat used for sorting for pyrolysis of 1 kg of PP</t>
  </si>
  <si>
    <t>Amount of electricity used for pyrolysis of 1 kg of PS</t>
  </si>
  <si>
    <t>Amount of heat used for sorting for pyrolysis of 1 kg of PS</t>
  </si>
  <si>
    <t>kwh/kg PET</t>
  </si>
  <si>
    <t>MJ/kg PET</t>
  </si>
  <si>
    <t>kwh/kg PE</t>
  </si>
  <si>
    <t>MJ/kg PE</t>
  </si>
  <si>
    <t>kwh/kg PP</t>
  </si>
  <si>
    <t>MJ/kg PP</t>
  </si>
  <si>
    <t>kwh/kg PS</t>
  </si>
  <si>
    <t>MJ/kg PS</t>
  </si>
  <si>
    <t>Output from incineration (INC) with CC</t>
  </si>
  <si>
    <t>Carbon capture (CC)</t>
  </si>
  <si>
    <t>Compressed (CC)</t>
  </si>
  <si>
    <t>Output from CC</t>
  </si>
  <si>
    <t>bottle_PET_AIR_CC_carbon_mechanical</t>
  </si>
  <si>
    <t>bottle_PE_AIR_CC_carbon_mechanical</t>
  </si>
  <si>
    <t>bottle_PP_AIR_CC_carbon_mechanical</t>
  </si>
  <si>
    <t>bottle_PS_AIR_CC_carbon_mechanical</t>
  </si>
  <si>
    <t>bottle_Oth_AIR_CC_carbon_mechanical</t>
  </si>
  <si>
    <t>rigid_PET_AIR_CC_carbon_mechanical</t>
  </si>
  <si>
    <t>rigid_PE_AIR_CC_carbon_mechanical</t>
  </si>
  <si>
    <t>rigid_PP_AIR_CC_carbon_mechanical</t>
  </si>
  <si>
    <t>rigid_PS_AIR_CC_carbon_mechanical</t>
  </si>
  <si>
    <t>rigid_Oth_AIR_CC_carbon_mechanical</t>
  </si>
  <si>
    <t>soft_PET_AIR_CC_carbon_mechanical</t>
  </si>
  <si>
    <t>soft_PE_AIR_CC_carbon_mechanical</t>
  </si>
  <si>
    <t>soft_PP_AIR_CC_carbon_mechanical</t>
  </si>
  <si>
    <t>soft_PS_AIR_CC_carbon_mechanical</t>
  </si>
  <si>
    <t>soft_Oth_AIR_CC_carbon_mechanical</t>
  </si>
  <si>
    <t>other_PET_AIR_CC_carbon_mechanical</t>
  </si>
  <si>
    <t>other_PE_AIR_CC_carbon_mechanical</t>
  </si>
  <si>
    <t>other_PP_AIR_CC_carbon_mechanical</t>
  </si>
  <si>
    <t>other_PS_AIR_CC_carbon_mechanical</t>
  </si>
  <si>
    <t>other_Oth_AIR_CC_carbon_mechanical</t>
  </si>
  <si>
    <t>Total output from cc (CC)</t>
  </si>
  <si>
    <t>Total_bottle_AIR_CC_carbon_mechanical</t>
  </si>
  <si>
    <t>Total_rigid_AIR_CC_carbon_mechanical</t>
  </si>
  <si>
    <t>Total_soft_AIR_CC_carbon_mechanical</t>
  </si>
  <si>
    <t>Total_other_AIR_CC_carbon_mechanical</t>
  </si>
  <si>
    <t>Total_AIR_CC_carbon_mechanical</t>
  </si>
  <si>
    <t>Amount of carbon in bottles that has been compressed (CC)</t>
  </si>
  <si>
    <t>Amount of carbon in rigid plastic that has been compressed (CC)</t>
  </si>
  <si>
    <t>Amount of carbon in soft plastic that has been compressed (CC)</t>
  </si>
  <si>
    <t>Amount of carbon in other plastic that has been compressed (CC)</t>
  </si>
  <si>
    <t>Amount of carbon in all plastic that has been compressed (CC)</t>
  </si>
  <si>
    <t>bottle_PE_AIR_CC_mass_mechanical</t>
  </si>
  <si>
    <t>bottle_PET_AIR_CC_mass_mechanical</t>
  </si>
  <si>
    <t>bottle_PP_AIR_CC_mass_mechanical</t>
  </si>
  <si>
    <t>bottle_PS_AIR_CC_mass_mechanical</t>
  </si>
  <si>
    <t>bottle_Oth_AIR_CC_mass_mechanical</t>
  </si>
  <si>
    <t>rigid_PET_AIR_CC_mass_mechanical</t>
  </si>
  <si>
    <t>rigid_PE_AIR_CC_mass_mechanical</t>
  </si>
  <si>
    <t>rigid_PP_AIR_CC_mass_mechanical</t>
  </si>
  <si>
    <t>rigid_PS_AIR_CC_mass_mechanical</t>
  </si>
  <si>
    <t>rigid_Oth_AIR_CC_mass_mechanical</t>
  </si>
  <si>
    <t>soft_PET_AIR_CC_mass_mechanical</t>
  </si>
  <si>
    <t>soft_PE_AIR_CC_mass_mechanical</t>
  </si>
  <si>
    <t>soft_PP_AIR_CC_mass_mechanical</t>
  </si>
  <si>
    <t>soft_PS_AIR_CC_mass_mechanical</t>
  </si>
  <si>
    <t>soft_Oth_AIR_CC_mass_mechanical</t>
  </si>
  <si>
    <t>other_PET_AIR_CC_mass_mechanical</t>
  </si>
  <si>
    <t>other_PE_AIR_CC_mass_mechanical</t>
  </si>
  <si>
    <t>other_PP_AIR_CC_mass_mechanical</t>
  </si>
  <si>
    <t>other_PS_AIR_CC_mass_mechanical</t>
  </si>
  <si>
    <t>other_Oth_AIR_CC_mass_mechanical</t>
  </si>
  <si>
    <t>Total_bottle_AIR_CC_mass_mechanical</t>
  </si>
  <si>
    <t>Total_rigid_AIR_CC_mass_mechanical</t>
  </si>
  <si>
    <t>Total_soft_AIR_CC_mass_mechanical</t>
  </si>
  <si>
    <t>Total_other_AIR_CC_mass_mechanical</t>
  </si>
  <si>
    <t>Total_AIR_CC_mass_mechanical</t>
  </si>
  <si>
    <t>Amount of compressed CO2 from incinerating bottles (CC)</t>
  </si>
  <si>
    <t>Amount of compressed CO2 from incinerating rigid plastic (CC)</t>
  </si>
  <si>
    <t>Amount of compressed CO2 from incinerating soft plastic (CC)</t>
  </si>
  <si>
    <t>Amount of compressed CO2 from incinerating other plastic (CC)</t>
  </si>
  <si>
    <t>Amount of compressed CO2 from incinerating plastic (CC)</t>
  </si>
  <si>
    <t>electricity_bottle_INC_CC_energy_mechanical</t>
  </si>
  <si>
    <t>electricity_rigid_INC_CC_energy_mechanical</t>
  </si>
  <si>
    <t>electricity_soft_INC_CC_energy_mechanical</t>
  </si>
  <si>
    <t>electricity_other_INC_CC_energy_mechanical</t>
  </si>
  <si>
    <t>electricity_tot_INC_CC_energy_mechanical</t>
  </si>
  <si>
    <t>heat_bottle_INC_CC_energy_mechanical</t>
  </si>
  <si>
    <t>heat_rigid_INC_CC_energy_mechanical</t>
  </si>
  <si>
    <t>heat_soft_INC_CC_energy_mechanical</t>
  </si>
  <si>
    <t>heat_other_INC_CC_energy_mechanical</t>
  </si>
  <si>
    <t>heat_tot_INC_CC_energy_mechanical</t>
  </si>
  <si>
    <t>electricity_bottle_energy_CC</t>
  </si>
  <si>
    <t>electricity_rigid_energy_CC</t>
  </si>
  <si>
    <t>electricity_soft_energy_CC</t>
  </si>
  <si>
    <t>electricity_other_energy_CC</t>
  </si>
  <si>
    <t>electricity_tot_energy_CC</t>
  </si>
  <si>
    <t>heat_bottle_energy_CC</t>
  </si>
  <si>
    <t>heat_rigid_energy_CC</t>
  </si>
  <si>
    <t>heat_soft_energy_CC</t>
  </si>
  <si>
    <t>heat_other_energy_CC</t>
  </si>
  <si>
    <t>heat_tot_energy_CC</t>
  </si>
  <si>
    <t>bottle_PET_AIR_CC_mass_pyrolysis</t>
  </si>
  <si>
    <t>bottle_PE_AIR_CC_mass_pyrolysis</t>
  </si>
  <si>
    <t>bottle_PP_AIR_CC_mass_pyrolysis</t>
  </si>
  <si>
    <t>bottle_PS_AIR_CC_mass_pyrolysis</t>
  </si>
  <si>
    <t>bottle_Oth_AIR_CC_mass_pyrolysis</t>
  </si>
  <si>
    <t>rigid_PET_AIR_CC_mass_pyrolysis</t>
  </si>
  <si>
    <t>rigid_PE_AIR_CC_mass_pyrolysis</t>
  </si>
  <si>
    <t>rigid_PP_AIR_CC_mass_pyrolysis</t>
  </si>
  <si>
    <t>rigid_PS_AIR_CC_mass_pyrolysis</t>
  </si>
  <si>
    <t>rigid_Oth_AIR_CC_mass_pyrolysis</t>
  </si>
  <si>
    <t>soft_PET_AIR_CC_mass_pyrolysis</t>
  </si>
  <si>
    <t>soft_PE_AIR_CC_mass_pyrolysis</t>
  </si>
  <si>
    <t>soft_PP_AIR_CC_mass_pyrolysis</t>
  </si>
  <si>
    <t>soft_PS_AIR_CC_mass_pyrolysis</t>
  </si>
  <si>
    <t>soft_Oth_AIR_CC_mass_pyrolysis</t>
  </si>
  <si>
    <t>other_PET_AIR_CC_mass_pyrolysis</t>
  </si>
  <si>
    <t>other_PE_AIR_CC_mass_pyrolysis</t>
  </si>
  <si>
    <t>other_PP_AIR_CC_mass_pyrolysis</t>
  </si>
  <si>
    <t>other_PS_AIR_CC_mass_pyrolysis</t>
  </si>
  <si>
    <t>other_Oth_AIR_CC_mass_pyrolysis</t>
  </si>
  <si>
    <t>Total output from CC (CC)</t>
  </si>
  <si>
    <t>Total_bottle_AIR_CC_mass_pyrolysis</t>
  </si>
  <si>
    <t>Total_rigid_AIR_CC_mass_pyrolysis</t>
  </si>
  <si>
    <t>Total_soft_AIR_CC_mass_pyrolysis</t>
  </si>
  <si>
    <t>Total_other_AIR_CC_mass_pyrolysis</t>
  </si>
  <si>
    <t>Total_AIR_CC_mass_pyrolysis</t>
  </si>
  <si>
    <t>bottle_PET_AIR_CC_carbon_pyrolysis</t>
  </si>
  <si>
    <t>bottle_PE_AIR_CC_carbon_pyrolysis</t>
  </si>
  <si>
    <t>bottle_PP_AIR_CC_carbon_pyrolysis</t>
  </si>
  <si>
    <t>bottle_PS_AIR_CC_carbon_pyrolysis</t>
  </si>
  <si>
    <t>bottle_Oth_AIR_CC_carbon_pyrolysis</t>
  </si>
  <si>
    <t>rigid_PET_AIR_CC_carbon_pyrolysis</t>
  </si>
  <si>
    <t>rigid_PE_AIR_CC_carbon_pyrolysis</t>
  </si>
  <si>
    <t>rigid_PP_AIR_CC_carbon_pyrolysis</t>
  </si>
  <si>
    <t>rigid_PS_AIR_CC_carbon_pyrolysis</t>
  </si>
  <si>
    <t>rigid_Oth_AIR_CC_carbon_pyrolysis</t>
  </si>
  <si>
    <t>soft_PET_AIR_CC_carbon_pyrolysis</t>
  </si>
  <si>
    <t>soft_PE_AIR_CC_carbon_pyrolysis</t>
  </si>
  <si>
    <t>soft_PP_AIR_CC_carbon_pyrolysis</t>
  </si>
  <si>
    <t>soft_PS_AIR_CC_carbon_pyrolysis</t>
  </si>
  <si>
    <t>soft_Oth_AIR_CC_carbon_pyrolysis</t>
  </si>
  <si>
    <t>other_PET_AIR_CC_carbon_pyrolysis</t>
  </si>
  <si>
    <t>other_PE_AIR_CC_carbon_pyrolysis</t>
  </si>
  <si>
    <t>other_PP_AIR_CC_carbon_pyrolysis</t>
  </si>
  <si>
    <t>other_PS_AIR_CC_carbon_pyrolysis</t>
  </si>
  <si>
    <t>other_Oth_AIR_CC_carbon_pyrolysis</t>
  </si>
  <si>
    <t>Total_bottle_AIR_CC_carbon_pyrolysis</t>
  </si>
  <si>
    <t>Total_rigid_AIR_CC_carbon_pyrolysis</t>
  </si>
  <si>
    <t>Total_soft_AIR_CC_carbon_pyrolysis</t>
  </si>
  <si>
    <t>Total_other_AIR_CC_carbon_pyrolysis</t>
  </si>
  <si>
    <t>Total_AIR_CC_carbon_pyrolysis</t>
  </si>
  <si>
    <t>Amount of all carbon that has been compressed (CC)</t>
  </si>
  <si>
    <t>heat_bottle_energy_pyrolysis_CC</t>
  </si>
  <si>
    <t>heat_rigid_energy_pyrolysis_CC</t>
  </si>
  <si>
    <t>heat_soft_energy_pyrolysis_CC</t>
  </si>
  <si>
    <t>heat_other_energy_pyrolysis_CC</t>
  </si>
  <si>
    <t>heat_tot_energy_pyrolysis_CC</t>
  </si>
  <si>
    <t>electricity_bottle_energy_pyrolysis_CC</t>
  </si>
  <si>
    <t>electricity_rigid_energy_pyrolysis_CC</t>
  </si>
  <si>
    <t>electricity_soft_energy_pyrolysis_CC</t>
  </si>
  <si>
    <t>electricity_other_energy_pyrolysis_CC</t>
  </si>
  <si>
    <t>electricity_tot_energy_pyrolysis_CC</t>
  </si>
  <si>
    <t xml:space="preserve">Amount of energy inputted during incineration of 1 kg of plastic (with carbon capture) </t>
  </si>
  <si>
    <t xml:space="preserve">Amount of energy inputted during incineration of 1 kg of plastic (without carbon capture) </t>
  </si>
  <si>
    <t>Amount of energy inputted during pyrolysis of 1 kg of PET</t>
  </si>
  <si>
    <t>Amount of energy inputted during pyrolysis of 1 kg of PE</t>
  </si>
  <si>
    <t>Amount of energy inputted during pyrolysis of 1 kg of PP</t>
  </si>
  <si>
    <t>Amount of energy inputted during pyrolysis of 1 kg of PS</t>
  </si>
  <si>
    <t>Amount of energy inputted during the sorting of 1 kg of PET during mechanical recycling</t>
  </si>
  <si>
    <t>Amount of energy inputted during the sorting of 1 kg of PE during mechanical recycling</t>
  </si>
  <si>
    <t>Amount of energy inputted during the sorting of 1 kg of PP during mechanical recycling</t>
  </si>
  <si>
    <t>Amount of energy inputted during the sorting of 1 kg of PS during mechanical recycling</t>
  </si>
  <si>
    <t>Amount of energy inputted during the reprocessing of 1 kg of PET during mechanical recycling</t>
  </si>
  <si>
    <t>Amount of energy inputted during the reprocessing of 1 kg of PE during mechanical recycling</t>
  </si>
  <si>
    <t>Amount of energy inputted during the reprocessing of 1 kg of PP during mechanical recycling</t>
  </si>
  <si>
    <t>Amount of energy inputted during the reprocessing of 1 kg of PS during mechanical recycling</t>
  </si>
  <si>
    <t xml:space="preserve">Amount of energy inputted for incineration of total plastic fraction </t>
  </si>
  <si>
    <t xml:space="preserve">Amount of energy inputted for incineration with (carbon capture) of total plastic fraction </t>
  </si>
  <si>
    <t>Total_input_energy_INC_mechanical</t>
  </si>
  <si>
    <t>Total_input_energy_CC_mechanical</t>
  </si>
  <si>
    <t>Input_total_energy_INC_incineration</t>
  </si>
  <si>
    <t>Input_total_energy_CC_incineration</t>
  </si>
  <si>
    <t>Total_input_energy_INC_pyrolysis</t>
  </si>
  <si>
    <t>Total_input_energy_CC_pyrolysis</t>
  </si>
  <si>
    <t xml:space="preserve">Amount of energy inputted for polymerization of total plastic fraction </t>
  </si>
  <si>
    <t>Total_input_energy_POLY_pyrolysis</t>
  </si>
  <si>
    <t>Amount of energy in bottles going to purification (PUR)</t>
  </si>
  <si>
    <t>Amount of energy in rigid plastic going to purification (PUR)</t>
  </si>
  <si>
    <t>Amount of energy in soft plastic going to purification (PUR)</t>
  </si>
  <si>
    <t>Amount of energy in the subfractions going to purification (PUR)</t>
  </si>
  <si>
    <t>Amount of energy inputted during pyrolysis of PET</t>
  </si>
  <si>
    <t>Amount of energy inputted during pyrolysis of PE</t>
  </si>
  <si>
    <t>Amount of energy inputted during pyrolysis of PP</t>
  </si>
  <si>
    <t>Amount of energy inputted during pyrolysis of PS</t>
  </si>
  <si>
    <t>TC_ heat_factor_CC</t>
  </si>
  <si>
    <t>TC_electricity_factor_CC</t>
  </si>
  <si>
    <t>LHV (MJ)</t>
  </si>
  <si>
    <t>best case</t>
  </si>
  <si>
    <t>Total energy content in waste</t>
  </si>
  <si>
    <t>Captured carbon</t>
  </si>
  <si>
    <t>Energy recovered per generated waste (gross)</t>
  </si>
  <si>
    <t>Energy recovered per generated waste (net)</t>
  </si>
  <si>
    <r>
      <t xml:space="preserve">Figure 1 </t>
    </r>
    <r>
      <rPr>
        <sz val="11"/>
        <color theme="1"/>
        <rFont val="Calibri"/>
        <family val="2"/>
        <scheme val="minor"/>
      </rPr>
      <t xml:space="preserve">The process diagrams of each of the three scenarios.
</t>
    </r>
  </si>
  <si>
    <t>Note: The carbon capture processes are grey to indicate that they are considered a potential future option.</t>
  </si>
  <si>
    <r>
      <t xml:space="preserve">Values that must be inputted manually </t>
    </r>
    <r>
      <rPr>
        <u/>
        <sz val="11"/>
        <color theme="1"/>
        <rFont val="Calibri"/>
        <family val="2"/>
        <scheme val="minor"/>
      </rPr>
      <t>(input values into these cells)</t>
    </r>
  </si>
  <si>
    <r>
      <t xml:space="preserve">Values referring to manual inputs </t>
    </r>
    <r>
      <rPr>
        <u/>
        <sz val="11"/>
        <color theme="1"/>
        <rFont val="Calibri"/>
        <family val="2"/>
        <scheme val="minor"/>
      </rPr>
      <t xml:space="preserve">(do </t>
    </r>
    <r>
      <rPr>
        <b/>
        <u/>
        <sz val="11"/>
        <color theme="1"/>
        <rFont val="Calibri"/>
        <family val="2"/>
        <scheme val="minor"/>
      </rPr>
      <t>not</t>
    </r>
    <r>
      <rPr>
        <u/>
        <sz val="11"/>
        <color theme="1"/>
        <rFont val="Calibri"/>
        <family val="2"/>
        <scheme val="minor"/>
      </rPr>
      <t xml:space="preserve"> input values into these cells)</t>
    </r>
  </si>
  <si>
    <t>Amount of energy loss due to process inefficiencies</t>
  </si>
  <si>
    <t>Sund, J. H., Lodato, C., Eriksen, M. K., and Astrup, T. F.</t>
  </si>
  <si>
    <t>Department of Environmental Engineering, Technical University of Denmark, Kongens Lyngby, Denmark</t>
  </si>
  <si>
    <r>
      <t xml:space="preserve">For all parameters, data for a best case and worst case has been presented (the best and worst case makes use of the min and max values respectively). 
</t>
    </r>
    <r>
      <rPr>
        <b/>
        <sz val="11"/>
        <color theme="1"/>
        <rFont val="Calibri"/>
        <family val="2"/>
        <scheme val="minor"/>
      </rPr>
      <t>Choose from the dropdown menu (press the box to the right), whether you would like the model to show the best case or worst case results:</t>
    </r>
  </si>
  <si>
    <t>DTU Massebalancemodel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</si>
</sst>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0000000000000%"/>
  </numFmts>
  <fonts count="15" x14ac:knownFonts="1">
    <font>
      <sz val="11"/>
      <color theme="1"/>
      <name val="Calibri"/>
      <family val="2"/>
      <scheme val="minor"/>
    </font>
    <font>
      <b/>
      <sz val="11"/>
      <color theme="1"/>
      <name val="Calibri"/>
      <family val="2"/>
      <scheme val="minor"/>
    </font>
    <font>
      <b/>
      <sz val="18"/>
      <color theme="1"/>
      <name val="Calibri"/>
      <family val="2"/>
      <scheme val="minor"/>
    </font>
    <font>
      <sz val="11"/>
      <color theme="1"/>
      <name val="Calibri"/>
      <family val="2"/>
      <scheme val="minor"/>
    </font>
    <font>
      <sz val="20"/>
      <color theme="1"/>
      <name val="Calibri"/>
      <family val="2"/>
      <scheme val="minor"/>
    </font>
    <font>
      <b/>
      <sz val="20"/>
      <color theme="1"/>
      <name val="Calibri"/>
      <family val="2"/>
      <scheme val="minor"/>
    </font>
    <font>
      <b/>
      <sz val="11"/>
      <color rgb="FF1C1C1C"/>
      <name val="Calibri"/>
      <family val="2"/>
      <scheme val="minor"/>
    </font>
    <font>
      <b/>
      <sz val="16"/>
      <color theme="1"/>
      <name val="Calibri"/>
      <family val="2"/>
      <scheme val="minor"/>
    </font>
    <font>
      <b/>
      <sz val="11"/>
      <color rgb="FFC00000"/>
      <name val="Calibri"/>
      <family val="2"/>
      <scheme val="minor"/>
    </font>
    <font>
      <i/>
      <sz val="11"/>
      <color theme="1"/>
      <name val="Calibri"/>
      <family val="2"/>
      <scheme val="minor"/>
    </font>
    <font>
      <u/>
      <sz val="11"/>
      <color theme="1"/>
      <name val="Calibri"/>
      <family val="2"/>
      <scheme val="minor"/>
    </font>
    <font>
      <b/>
      <u/>
      <sz val="11"/>
      <color theme="1"/>
      <name val="Calibri"/>
      <family val="2"/>
      <scheme val="minor"/>
    </font>
    <font>
      <sz val="14"/>
      <color theme="1"/>
      <name val="Calibri"/>
      <family val="2"/>
      <scheme val="minor"/>
    </font>
    <font>
      <i/>
      <sz val="14"/>
      <color theme="1"/>
      <name val="Calibri"/>
      <family val="2"/>
      <scheme val="minor"/>
    </font>
    <font>
      <b/>
      <sz val="3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bgColor indexed="64"/>
      </patternFill>
    </fill>
    <fill>
      <patternFill patternType="solid">
        <fgColor theme="8"/>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rgb="FF505050"/>
      </top>
      <bottom style="thin">
        <color rgb="FF505050"/>
      </bottom>
      <diagonal/>
    </border>
    <border>
      <left style="thin">
        <color indexed="64"/>
      </left>
      <right style="thin">
        <color rgb="FF505050"/>
      </right>
      <top/>
      <bottom/>
      <diagonal/>
    </border>
    <border>
      <left style="thin">
        <color indexed="64"/>
      </left>
      <right style="thin">
        <color rgb="FF505050"/>
      </right>
      <top/>
      <bottom style="thin">
        <color indexed="64"/>
      </bottom>
      <diagonal/>
    </border>
    <border>
      <left/>
      <right/>
      <top/>
      <bottom style="double">
        <color rgb="FF505050"/>
      </bottom>
      <diagonal/>
    </border>
    <border>
      <left/>
      <right style="thin">
        <color indexed="64"/>
      </right>
      <top style="thin">
        <color indexed="64"/>
      </top>
      <bottom style="thin">
        <color rgb="FF505050"/>
      </bottom>
      <diagonal/>
    </border>
    <border>
      <left/>
      <right style="thin">
        <color indexed="64"/>
      </right>
      <top style="thin">
        <color rgb="FF505050"/>
      </top>
      <bottom style="thin">
        <color rgb="FF505050"/>
      </bottom>
      <diagonal/>
    </border>
    <border>
      <left style="thin">
        <color indexed="64"/>
      </left>
      <right style="thin">
        <color indexed="64"/>
      </right>
      <top style="thin">
        <color indexed="64"/>
      </top>
      <bottom style="thin">
        <color rgb="FF505050"/>
      </bottom>
      <diagonal/>
    </border>
    <border>
      <left style="thin">
        <color indexed="64"/>
      </left>
      <right style="thin">
        <color indexed="64"/>
      </right>
      <top style="thin">
        <color rgb="FF505050"/>
      </top>
      <bottom style="thin">
        <color rgb="FF505050"/>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2">
    <xf numFmtId="0" fontId="0" fillId="0" borderId="0"/>
    <xf numFmtId="9" fontId="3" fillId="0" borderId="0" applyFont="0" applyFill="0" applyBorder="0" applyAlignment="0" applyProtection="0"/>
  </cellStyleXfs>
  <cellXfs count="242">
    <xf numFmtId="0" fontId="0" fillId="0" borderId="0" xfId="0"/>
    <xf numFmtId="0" fontId="1" fillId="0" borderId="5" xfId="0" applyFont="1" applyBorder="1"/>
    <xf numFmtId="0" fontId="1" fillId="0" borderId="0" xfId="0" applyFont="1"/>
    <xf numFmtId="2" fontId="1" fillId="0" borderId="0" xfId="0" applyNumberFormat="1" applyFont="1"/>
    <xf numFmtId="0" fontId="1" fillId="0" borderId="7" xfId="0" applyFont="1" applyBorder="1"/>
    <xf numFmtId="0" fontId="0" fillId="0" borderId="6" xfId="0" applyBorder="1"/>
    <xf numFmtId="2" fontId="0" fillId="0" borderId="0" xfId="0" applyNumberFormat="1"/>
    <xf numFmtId="0" fontId="1" fillId="2" borderId="0" xfId="0" applyFont="1" applyFill="1"/>
    <xf numFmtId="0" fontId="0" fillId="0" borderId="11" xfId="0" applyBorder="1"/>
    <xf numFmtId="0" fontId="0" fillId="2" borderId="0" xfId="0" applyFill="1"/>
    <xf numFmtId="0" fontId="1" fillId="0" borderId="0" xfId="0" applyFont="1" applyAlignment="1">
      <alignment horizontal="center"/>
    </xf>
    <xf numFmtId="0" fontId="1" fillId="5" borderId="0" xfId="0" applyFont="1" applyFill="1"/>
    <xf numFmtId="0" fontId="0" fillId="5" borderId="0" xfId="0" applyFill="1"/>
    <xf numFmtId="164" fontId="0" fillId="5" borderId="0" xfId="0" applyNumberFormat="1" applyFill="1"/>
    <xf numFmtId="0" fontId="0" fillId="3" borderId="0" xfId="0" applyFill="1"/>
    <xf numFmtId="0" fontId="1" fillId="3" borderId="0" xfId="0" applyFont="1" applyFill="1"/>
    <xf numFmtId="2" fontId="1" fillId="3" borderId="0" xfId="0" applyNumberFormat="1" applyFont="1" applyFill="1"/>
    <xf numFmtId="0" fontId="1" fillId="3" borderId="0" xfId="0" applyFont="1" applyFill="1" applyAlignment="1">
      <alignment horizontal="left"/>
    </xf>
    <xf numFmtId="0" fontId="1" fillId="4" borderId="0" xfId="0" applyFont="1" applyFill="1"/>
    <xf numFmtId="0" fontId="0" fillId="4" borderId="0" xfId="0" applyFill="1"/>
    <xf numFmtId="2" fontId="1" fillId="4" borderId="0" xfId="0" applyNumberFormat="1" applyFont="1" applyFill="1"/>
    <xf numFmtId="0" fontId="1" fillId="4" borderId="0" xfId="0" applyFont="1" applyFill="1" applyAlignment="1">
      <alignment horizontal="left"/>
    </xf>
    <xf numFmtId="0" fontId="5" fillId="2" borderId="0" xfId="0" applyFont="1" applyFill="1"/>
    <xf numFmtId="0" fontId="1" fillId="2" borderId="9" xfId="0" applyFont="1" applyFill="1" applyBorder="1"/>
    <xf numFmtId="0" fontId="0" fillId="0" borderId="6" xfId="0" applyBorder="1" applyAlignment="1">
      <alignment horizontal="left"/>
    </xf>
    <xf numFmtId="0" fontId="0" fillId="0" borderId="0" xfId="0" applyAlignment="1">
      <alignment horizontal="right"/>
    </xf>
    <xf numFmtId="0" fontId="1" fillId="0" borderId="1" xfId="0" applyFont="1" applyBorder="1" applyAlignment="1">
      <alignment horizontal="left" vertical="center"/>
    </xf>
    <xf numFmtId="0" fontId="1" fillId="0" borderId="2" xfId="0" applyFont="1" applyBorder="1" applyAlignment="1">
      <alignment horizontal="left" vertical="center"/>
    </xf>
    <xf numFmtId="0" fontId="6" fillId="0" borderId="2" xfId="0" applyFont="1" applyBorder="1" applyAlignment="1">
      <alignment vertical="center"/>
    </xf>
    <xf numFmtId="0" fontId="1" fillId="0" borderId="2" xfId="0" applyFont="1" applyBorder="1" applyAlignment="1">
      <alignment vertical="center"/>
    </xf>
    <xf numFmtId="2" fontId="1" fillId="5" borderId="0" xfId="0" applyNumberFormat="1" applyFont="1" applyFill="1"/>
    <xf numFmtId="0" fontId="1" fillId="5" borderId="0" xfId="0" applyFont="1" applyFill="1" applyAlignment="1">
      <alignment horizontal="left"/>
    </xf>
    <xf numFmtId="0" fontId="0" fillId="0" borderId="7" xfId="0" applyBorder="1"/>
    <xf numFmtId="164" fontId="0" fillId="0" borderId="0" xfId="0" applyNumberFormat="1"/>
    <xf numFmtId="164" fontId="0" fillId="0" borderId="11" xfId="0" applyNumberFormat="1" applyBorder="1"/>
    <xf numFmtId="0" fontId="1" fillId="2" borderId="2" xfId="0" applyFont="1" applyFill="1" applyBorder="1" applyAlignment="1">
      <alignment vertical="center"/>
    </xf>
    <xf numFmtId="0" fontId="0" fillId="0" borderId="8" xfId="0" applyBorder="1"/>
    <xf numFmtId="0" fontId="1" fillId="0" borderId="11" xfId="0" applyFont="1" applyBorder="1"/>
    <xf numFmtId="0" fontId="1" fillId="0" borderId="12" xfId="0" applyFont="1" applyBorder="1"/>
    <xf numFmtId="0" fontId="0" fillId="0" borderId="0" xfId="0" applyAlignment="1">
      <alignment horizontal="left"/>
    </xf>
    <xf numFmtId="0" fontId="1" fillId="0" borderId="5" xfId="0" applyFont="1" applyBorder="1"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3" borderId="0" xfId="0" applyFont="1" applyFill="1" applyAlignment="1">
      <alignment horizontal="center"/>
    </xf>
    <xf numFmtId="0" fontId="0" fillId="0" borderId="9" xfId="0" applyBorder="1"/>
    <xf numFmtId="0" fontId="1" fillId="2" borderId="0" xfId="0" applyFont="1" applyFill="1" applyAlignment="1">
      <alignment vertical="center"/>
    </xf>
    <xf numFmtId="0" fontId="2" fillId="0" borderId="0" xfId="0" applyFont="1" applyAlignment="1">
      <alignment horizontal="left"/>
    </xf>
    <xf numFmtId="0" fontId="4" fillId="5" borderId="0" xfId="0" applyFont="1" applyFill="1"/>
    <xf numFmtId="0" fontId="5" fillId="5" borderId="0" xfId="0" applyFont="1" applyFill="1"/>
    <xf numFmtId="0" fontId="4" fillId="3" borderId="0" xfId="0" applyFont="1" applyFill="1"/>
    <xf numFmtId="0" fontId="5" fillId="3" borderId="0" xfId="0" applyFont="1" applyFill="1"/>
    <xf numFmtId="0" fontId="4" fillId="4" borderId="0" xfId="0" applyFont="1" applyFill="1"/>
    <xf numFmtId="0" fontId="5" fillId="4" borderId="0" xfId="0" applyFont="1" applyFill="1"/>
    <xf numFmtId="0" fontId="1" fillId="0" borderId="0" xfId="0" applyFont="1" applyAlignment="1">
      <alignment horizontal="left"/>
    </xf>
    <xf numFmtId="0" fontId="1" fillId="0" borderId="0" xfId="0" applyFont="1" applyAlignment="1">
      <alignment vertical="center"/>
    </xf>
    <xf numFmtId="0" fontId="1" fillId="0" borderId="2" xfId="0" applyFont="1" applyBorder="1"/>
    <xf numFmtId="0" fontId="1" fillId="0" borderId="9" xfId="0" applyFont="1" applyBorder="1"/>
    <xf numFmtId="0" fontId="1" fillId="0" borderId="10" xfId="0" applyFont="1" applyBorder="1"/>
    <xf numFmtId="0" fontId="0" fillId="2" borderId="0" xfId="0" applyFill="1" applyAlignment="1">
      <alignment horizontal="left"/>
    </xf>
    <xf numFmtId="0" fontId="7" fillId="0" borderId="0" xfId="0" applyFont="1" applyAlignment="1">
      <alignment horizontal="left"/>
    </xf>
    <xf numFmtId="2" fontId="0" fillId="0" borderId="9" xfId="0" applyNumberFormat="1" applyBorder="1"/>
    <xf numFmtId="0" fontId="0" fillId="0" borderId="10" xfId="0" applyBorder="1"/>
    <xf numFmtId="164" fontId="0" fillId="0" borderId="9" xfId="0" applyNumberFormat="1" applyBorder="1"/>
    <xf numFmtId="1" fontId="0" fillId="0" borderId="9" xfId="0" applyNumberFormat="1" applyBorder="1"/>
    <xf numFmtId="165" fontId="0" fillId="0" borderId="0" xfId="0" applyNumberFormat="1"/>
    <xf numFmtId="3" fontId="0" fillId="5" borderId="0" xfId="0" applyNumberFormat="1" applyFill="1"/>
    <xf numFmtId="0" fontId="0" fillId="0" borderId="0" xfId="0" applyAlignment="1">
      <alignment vertical="center"/>
    </xf>
    <xf numFmtId="164" fontId="0" fillId="0" borderId="0" xfId="0" applyNumberFormat="1" applyAlignment="1">
      <alignment vertical="center"/>
    </xf>
    <xf numFmtId="9" fontId="3" fillId="5" borderId="0" xfId="1" applyFont="1" applyFill="1" applyBorder="1"/>
    <xf numFmtId="0" fontId="0" fillId="5" borderId="9" xfId="0" applyFill="1" applyBorder="1"/>
    <xf numFmtId="3" fontId="0" fillId="0" borderId="0" xfId="0" applyNumberFormat="1"/>
    <xf numFmtId="164" fontId="0" fillId="3" borderId="0" xfId="0" applyNumberFormat="1" applyFill="1"/>
    <xf numFmtId="0" fontId="0" fillId="0" borderId="0" xfId="0" applyAlignment="1">
      <alignment horizontal="left" vertical="center"/>
    </xf>
    <xf numFmtId="0" fontId="0" fillId="3" borderId="9" xfId="0" applyFill="1" applyBorder="1"/>
    <xf numFmtId="164" fontId="0" fillId="4" borderId="0" xfId="0" applyNumberFormat="1" applyFill="1"/>
    <xf numFmtId="0" fontId="0" fillId="0" borderId="0" xfId="0" applyAlignment="1">
      <alignment vertical="top"/>
    </xf>
    <xf numFmtId="0" fontId="0" fillId="5" borderId="4" xfId="0" applyFill="1" applyBorder="1"/>
    <xf numFmtId="0" fontId="0" fillId="4" borderId="4" xfId="0" applyFill="1" applyBorder="1"/>
    <xf numFmtId="0" fontId="4" fillId="0" borderId="0" xfId="0" applyFont="1"/>
    <xf numFmtId="0" fontId="1" fillId="4" borderId="9" xfId="0" applyFont="1" applyFill="1" applyBorder="1"/>
    <xf numFmtId="0" fontId="0" fillId="0" borderId="13" xfId="0" applyBorder="1"/>
    <xf numFmtId="2" fontId="0" fillId="0" borderId="13" xfId="0" applyNumberFormat="1" applyBorder="1"/>
    <xf numFmtId="0" fontId="1" fillId="0" borderId="13" xfId="0" applyFont="1" applyBorder="1"/>
    <xf numFmtId="0" fontId="1" fillId="0" borderId="7" xfId="0" applyFont="1" applyBorder="1" applyAlignment="1">
      <alignment horizontal="center"/>
    </xf>
    <xf numFmtId="0" fontId="1" fillId="0" borderId="14" xfId="0" applyFont="1" applyBorder="1"/>
    <xf numFmtId="0" fontId="0" fillId="0" borderId="4" xfId="0" applyBorder="1"/>
    <xf numFmtId="164" fontId="0" fillId="0" borderId="4" xfId="0" applyNumberFormat="1" applyBorder="1"/>
    <xf numFmtId="0" fontId="0" fillId="0" borderId="12" xfId="0" applyBorder="1"/>
    <xf numFmtId="2" fontId="0" fillId="0" borderId="11" xfId="0" applyNumberFormat="1" applyBorder="1"/>
    <xf numFmtId="2" fontId="0" fillId="5" borderId="0" xfId="0" applyNumberFormat="1" applyFill="1"/>
    <xf numFmtId="0" fontId="0" fillId="5" borderId="0" xfId="0" applyFill="1" applyAlignment="1">
      <alignment vertical="center"/>
    </xf>
    <xf numFmtId="0" fontId="0" fillId="5" borderId="9" xfId="0" applyFill="1" applyBorder="1" applyAlignment="1">
      <alignment vertical="center"/>
    </xf>
    <xf numFmtId="2" fontId="0" fillId="5" borderId="9" xfId="0" applyNumberFormat="1" applyFill="1" applyBorder="1"/>
    <xf numFmtId="164" fontId="0" fillId="5" borderId="9" xfId="0" applyNumberFormat="1" applyFill="1" applyBorder="1"/>
    <xf numFmtId="0" fontId="0" fillId="0" borderId="9" xfId="0" applyBorder="1" applyAlignment="1">
      <alignment vertical="center"/>
    </xf>
    <xf numFmtId="0" fontId="0" fillId="3" borderId="0" xfId="0" applyFill="1" applyAlignment="1">
      <alignment vertical="center"/>
    </xf>
    <xf numFmtId="2" fontId="0" fillId="3" borderId="0" xfId="0" applyNumberFormat="1" applyFill="1"/>
    <xf numFmtId="2" fontId="0" fillId="4" borderId="0" xfId="0" applyNumberFormat="1" applyFill="1"/>
    <xf numFmtId="0" fontId="0" fillId="4" borderId="0" xfId="0" applyFill="1" applyAlignment="1">
      <alignment vertical="center"/>
    </xf>
    <xf numFmtId="0" fontId="0" fillId="4" borderId="9" xfId="0" applyFill="1" applyBorder="1"/>
    <xf numFmtId="0" fontId="7" fillId="0" borderId="0" xfId="0" applyFont="1"/>
    <xf numFmtId="0" fontId="0" fillId="5" borderId="0" xfId="0" applyFill="1" applyAlignment="1">
      <alignment vertical="top"/>
    </xf>
    <xf numFmtId="1" fontId="0" fillId="5" borderId="0" xfId="0" applyNumberFormat="1" applyFill="1"/>
    <xf numFmtId="0" fontId="0" fillId="3" borderId="4" xfId="0" applyFill="1" applyBorder="1"/>
    <xf numFmtId="0" fontId="0" fillId="3" borderId="0" xfId="0" applyFill="1" applyAlignment="1">
      <alignment vertical="top"/>
    </xf>
    <xf numFmtId="0" fontId="0" fillId="6" borderId="0" xfId="0" applyFill="1"/>
    <xf numFmtId="0" fontId="0" fillId="7" borderId="0" xfId="0" applyFill="1"/>
    <xf numFmtId="0" fontId="0" fillId="7" borderId="9" xfId="0" applyFill="1" applyBorder="1"/>
    <xf numFmtId="0" fontId="0" fillId="3" borderId="2" xfId="0" applyFill="1" applyBorder="1"/>
    <xf numFmtId="2" fontId="0" fillId="6" borderId="0" xfId="0" applyNumberFormat="1" applyFill="1"/>
    <xf numFmtId="2" fontId="0" fillId="6" borderId="9" xfId="0" applyNumberFormat="1" applyFill="1" applyBorder="1"/>
    <xf numFmtId="2" fontId="0" fillId="2" borderId="0" xfId="0" applyNumberFormat="1" applyFill="1"/>
    <xf numFmtId="0" fontId="0" fillId="2" borderId="9" xfId="0" applyFill="1" applyBorder="1"/>
    <xf numFmtId="0" fontId="0" fillId="6" borderId="9" xfId="0" applyFill="1" applyBorder="1"/>
    <xf numFmtId="0" fontId="1" fillId="7" borderId="0" xfId="0" applyFont="1" applyFill="1"/>
    <xf numFmtId="2" fontId="0" fillId="7" borderId="0" xfId="0" applyNumberFormat="1" applyFill="1"/>
    <xf numFmtId="164" fontId="0" fillId="7" borderId="0" xfId="0" applyNumberFormat="1" applyFill="1"/>
    <xf numFmtId="3" fontId="0" fillId="7" borderId="0" xfId="0" applyNumberFormat="1" applyFill="1"/>
    <xf numFmtId="0" fontId="1" fillId="7" borderId="0" xfId="0" applyFont="1" applyFill="1" applyAlignment="1">
      <alignment horizontal="left"/>
    </xf>
    <xf numFmtId="0" fontId="1" fillId="7" borderId="0" xfId="0" applyFont="1" applyFill="1" applyAlignment="1">
      <alignment horizontal="center"/>
    </xf>
    <xf numFmtId="0" fontId="0" fillId="7" borderId="0" xfId="0" applyFill="1" applyAlignment="1">
      <alignment horizontal="left"/>
    </xf>
    <xf numFmtId="0" fontId="0" fillId="7" borderId="0" xfId="0" applyFill="1" applyAlignment="1">
      <alignment horizontal="right"/>
    </xf>
    <xf numFmtId="9" fontId="3" fillId="5" borderId="9" xfId="1" applyFont="1" applyFill="1" applyBorder="1"/>
    <xf numFmtId="166" fontId="0" fillId="0" borderId="0" xfId="1" applyNumberFormat="1" applyFont="1" applyFill="1" applyBorder="1"/>
    <xf numFmtId="1" fontId="0" fillId="0" borderId="11" xfId="0" applyNumberFormat="1" applyBorder="1"/>
    <xf numFmtId="0" fontId="1" fillId="8" borderId="2" xfId="0" applyFont="1" applyFill="1" applyBorder="1"/>
    <xf numFmtId="164" fontId="1" fillId="8" borderId="2" xfId="0" applyNumberFormat="1" applyFont="1" applyFill="1" applyBorder="1"/>
    <xf numFmtId="9" fontId="1" fillId="8" borderId="2" xfId="1" applyFont="1" applyFill="1" applyBorder="1"/>
    <xf numFmtId="0" fontId="1" fillId="8" borderId="0" xfId="0" applyFont="1" applyFill="1"/>
    <xf numFmtId="164" fontId="1" fillId="8" borderId="0" xfId="0" applyNumberFormat="1" applyFont="1" applyFill="1"/>
    <xf numFmtId="0" fontId="1" fillId="2" borderId="2" xfId="0" applyFont="1" applyFill="1" applyBorder="1"/>
    <xf numFmtId="9" fontId="0" fillId="5" borderId="0" xfId="1" applyFont="1" applyFill="1" applyBorder="1"/>
    <xf numFmtId="0" fontId="5" fillId="2" borderId="0" xfId="0" applyFont="1" applyFill="1" applyAlignment="1">
      <alignment horizontal="left"/>
    </xf>
    <xf numFmtId="0" fontId="0" fillId="2" borderId="0" xfId="0" applyFill="1" applyAlignment="1">
      <alignment horizontal="left" vertical="top" wrapText="1"/>
    </xf>
    <xf numFmtId="0" fontId="8" fillId="2" borderId="15" xfId="0" applyFont="1" applyFill="1" applyBorder="1" applyAlignment="1">
      <alignment horizontal="center" vertical="center"/>
    </xf>
    <xf numFmtId="0" fontId="0" fillId="2" borderId="0" xfId="0" applyFill="1" applyAlignment="1">
      <alignment horizontal="right"/>
    </xf>
    <xf numFmtId="165" fontId="0" fillId="7" borderId="0" xfId="0" applyNumberFormat="1" applyFill="1"/>
    <xf numFmtId="2" fontId="0" fillId="7" borderId="9" xfId="0" applyNumberFormat="1" applyFill="1" applyBorder="1"/>
    <xf numFmtId="2" fontId="1" fillId="8" borderId="2" xfId="0" applyNumberFormat="1" applyFont="1" applyFill="1" applyBorder="1"/>
    <xf numFmtId="0" fontId="1" fillId="8" borderId="9" xfId="0" applyFont="1" applyFill="1" applyBorder="1"/>
    <xf numFmtId="2" fontId="1" fillId="8" borderId="9" xfId="0" applyNumberFormat="1" applyFont="1" applyFill="1" applyBorder="1"/>
    <xf numFmtId="164" fontId="1" fillId="8" borderId="9" xfId="0" applyNumberFormat="1" applyFont="1" applyFill="1" applyBorder="1"/>
    <xf numFmtId="0" fontId="1" fillId="8" borderId="9" xfId="0" applyFont="1" applyFill="1" applyBorder="1" applyAlignment="1">
      <alignment vertical="center"/>
    </xf>
    <xf numFmtId="0" fontId="0" fillId="0" borderId="1" xfId="0" applyBorder="1"/>
    <xf numFmtId="0" fontId="0" fillId="0" borderId="2" xfId="0" applyBorder="1"/>
    <xf numFmtId="0" fontId="1" fillId="8" borderId="2" xfId="0" applyFont="1" applyFill="1" applyBorder="1" applyAlignment="1">
      <alignment vertical="center"/>
    </xf>
    <xf numFmtId="0" fontId="0" fillId="0" borderId="9" xfId="0" applyBorder="1" applyAlignment="1">
      <alignment horizontal="right"/>
    </xf>
    <xf numFmtId="165" fontId="0" fillId="5" borderId="0" xfId="0" applyNumberFormat="1" applyFill="1"/>
    <xf numFmtId="9" fontId="0" fillId="3" borderId="0" xfId="1" applyFont="1" applyFill="1" applyBorder="1"/>
    <xf numFmtId="166" fontId="0" fillId="2" borderId="0" xfId="1" applyNumberFormat="1" applyFont="1" applyFill="1"/>
    <xf numFmtId="167" fontId="0" fillId="2" borderId="0" xfId="0" applyNumberFormat="1" applyFill="1"/>
    <xf numFmtId="0" fontId="0" fillId="0" borderId="6" xfId="0" applyBorder="1" applyAlignment="1">
      <alignment horizontal="center" vertical="center"/>
    </xf>
    <xf numFmtId="0" fontId="1" fillId="0" borderId="6" xfId="0" applyFont="1" applyBorder="1" applyAlignment="1">
      <alignment horizontal="center" vertical="center"/>
    </xf>
    <xf numFmtId="0" fontId="0" fillId="0" borderId="0" xfId="0" applyAlignment="1">
      <alignment horizontal="center" vertical="center"/>
    </xf>
    <xf numFmtId="9" fontId="0" fillId="0" borderId="6" xfId="1" applyFont="1" applyBorder="1" applyAlignment="1">
      <alignment horizontal="center" vertical="center"/>
    </xf>
    <xf numFmtId="9" fontId="0" fillId="0" borderId="8" xfId="1" applyFont="1" applyBorder="1" applyAlignment="1">
      <alignment horizontal="center" vertical="center"/>
    </xf>
    <xf numFmtId="0" fontId="0" fillId="0" borderId="9" xfId="0" applyBorder="1" applyAlignment="1">
      <alignment horizontal="center" vertical="center"/>
    </xf>
    <xf numFmtId="0" fontId="1" fillId="0" borderId="0" xfId="0" applyFont="1" applyAlignment="1">
      <alignment horizontal="center" vertical="center"/>
    </xf>
    <xf numFmtId="1" fontId="0" fillId="0" borderId="6" xfId="0" applyNumberFormat="1" applyBorder="1" applyAlignment="1">
      <alignment horizontal="center" vertical="center"/>
    </xf>
    <xf numFmtId="0" fontId="1" fillId="0" borderId="17" xfId="0" applyFont="1" applyBorder="1" applyAlignment="1">
      <alignment horizontal="center" vertical="center"/>
    </xf>
    <xf numFmtId="1" fontId="0" fillId="0" borderId="17" xfId="0" applyNumberFormat="1" applyBorder="1" applyAlignment="1">
      <alignment horizontal="center" vertical="center"/>
    </xf>
    <xf numFmtId="9" fontId="0" fillId="0" borderId="17" xfId="1" applyFont="1" applyBorder="1" applyAlignment="1">
      <alignment horizontal="center" vertical="center"/>
    </xf>
    <xf numFmtId="9" fontId="0" fillId="0" borderId="16" xfId="1" applyFont="1" applyBorder="1" applyAlignment="1">
      <alignment horizontal="center" vertical="center"/>
    </xf>
    <xf numFmtId="0" fontId="1" fillId="7" borderId="4" xfId="0" applyFont="1" applyFill="1" applyBorder="1"/>
    <xf numFmtId="0" fontId="1" fillId="7" borderId="4" xfId="0" applyFont="1" applyFill="1" applyBorder="1" applyAlignment="1">
      <alignment horizontal="center" vertical="center"/>
    </xf>
    <xf numFmtId="0" fontId="1" fillId="7" borderId="0" xfId="0" applyFont="1" applyFill="1" applyAlignment="1">
      <alignment horizontal="center" vertical="center"/>
    </xf>
    <xf numFmtId="0" fontId="1" fillId="7" borderId="9" xfId="0" applyFont="1" applyFill="1" applyBorder="1" applyAlignment="1">
      <alignment horizontal="center" vertical="center"/>
    </xf>
    <xf numFmtId="0" fontId="0" fillId="7" borderId="0" xfId="0" applyFill="1" applyAlignment="1">
      <alignment horizontal="left" vertical="center"/>
    </xf>
    <xf numFmtId="0" fontId="0" fillId="0" borderId="0" xfId="0" applyAlignment="1">
      <alignment horizontal="center"/>
    </xf>
    <xf numFmtId="0" fontId="0" fillId="0" borderId="7" xfId="0" applyBorder="1" applyAlignment="1">
      <alignment horizontal="center"/>
    </xf>
    <xf numFmtId="0" fontId="0" fillId="7" borderId="9" xfId="0" applyFill="1" applyBorder="1" applyAlignment="1">
      <alignment horizontal="left" vertical="center"/>
    </xf>
    <xf numFmtId="1" fontId="0" fillId="2" borderId="0" xfId="0" applyNumberFormat="1" applyFill="1"/>
    <xf numFmtId="0" fontId="0" fillId="2" borderId="7" xfId="0" applyFill="1" applyBorder="1"/>
    <xf numFmtId="0" fontId="0" fillId="2" borderId="10" xfId="0" applyFill="1" applyBorder="1"/>
    <xf numFmtId="9" fontId="0" fillId="2" borderId="17" xfId="1" applyFont="1" applyFill="1" applyBorder="1"/>
    <xf numFmtId="9" fontId="0" fillId="2" borderId="16" xfId="1" applyFont="1" applyFill="1" applyBorder="1"/>
    <xf numFmtId="1" fontId="0" fillId="0" borderId="6" xfId="1" applyNumberFormat="1" applyFont="1" applyBorder="1" applyAlignment="1">
      <alignment horizontal="center" vertical="center"/>
    </xf>
    <xf numFmtId="1" fontId="0" fillId="0" borderId="17" xfId="1" applyNumberFormat="1" applyFont="1" applyBorder="1" applyAlignment="1">
      <alignment horizontal="center" vertical="center"/>
    </xf>
    <xf numFmtId="0" fontId="0" fillId="2" borderId="4" xfId="0" applyFill="1" applyBorder="1"/>
    <xf numFmtId="2" fontId="0" fillId="7" borderId="4" xfId="0" applyNumberFormat="1" applyFill="1" applyBorder="1"/>
    <xf numFmtId="0" fontId="0" fillId="7" borderId="4" xfId="0" applyFill="1" applyBorder="1"/>
    <xf numFmtId="0" fontId="9" fillId="2" borderId="0" xfId="0" applyFont="1" applyFill="1"/>
    <xf numFmtId="1" fontId="0" fillId="7" borderId="0" xfId="0" applyNumberFormat="1" applyFill="1" applyAlignment="1">
      <alignment horizontal="right"/>
    </xf>
    <xf numFmtId="2" fontId="0" fillId="7" borderId="0" xfId="0" applyNumberFormat="1" applyFill="1" applyAlignment="1">
      <alignment horizontal="left"/>
    </xf>
    <xf numFmtId="1" fontId="0" fillId="0" borderId="8" xfId="0" applyNumberFormat="1" applyBorder="1" applyAlignment="1">
      <alignment horizontal="center" vertical="center"/>
    </xf>
    <xf numFmtId="1" fontId="0" fillId="0" borderId="16" xfId="0" applyNumberFormat="1" applyBorder="1" applyAlignment="1">
      <alignment horizontal="center" vertical="center"/>
    </xf>
    <xf numFmtId="0" fontId="1" fillId="0" borderId="19" xfId="0" applyFont="1" applyBorder="1" applyAlignment="1">
      <alignment horizontal="center" vertical="center"/>
    </xf>
    <xf numFmtId="1" fontId="0" fillId="0" borderId="19" xfId="0" applyNumberFormat="1" applyBorder="1" applyAlignment="1">
      <alignment horizontal="center" vertical="center"/>
    </xf>
    <xf numFmtId="1" fontId="0" fillId="0" borderId="19" xfId="1" applyNumberFormat="1" applyFont="1" applyBorder="1" applyAlignment="1">
      <alignment horizontal="center" vertical="center"/>
    </xf>
    <xf numFmtId="9" fontId="0" fillId="0" borderId="19" xfId="1" applyFont="1" applyBorder="1" applyAlignment="1">
      <alignment horizontal="center" vertical="center"/>
    </xf>
    <xf numFmtId="9" fontId="0" fillId="0" borderId="20" xfId="1" applyFont="1" applyBorder="1" applyAlignment="1">
      <alignment horizontal="center" vertical="center"/>
    </xf>
    <xf numFmtId="0" fontId="0" fillId="2" borderId="18" xfId="0" applyFill="1" applyBorder="1" applyAlignment="1">
      <alignment horizontal="center"/>
    </xf>
    <xf numFmtId="164" fontId="0" fillId="0" borderId="21" xfId="0" applyNumberFormat="1" applyBorder="1"/>
    <xf numFmtId="0" fontId="0" fillId="2" borderId="22" xfId="0" applyFill="1" applyBorder="1"/>
    <xf numFmtId="0" fontId="0" fillId="2" borderId="23" xfId="0" applyFill="1" applyBorder="1"/>
    <xf numFmtId="2" fontId="0" fillId="2" borderId="24" xfId="0" applyNumberFormat="1" applyFill="1" applyBorder="1" applyAlignment="1">
      <alignment horizontal="center"/>
    </xf>
    <xf numFmtId="2" fontId="0" fillId="2" borderId="25" xfId="0" applyNumberFormat="1" applyFill="1" applyBorder="1" applyAlignment="1">
      <alignment horizontal="center"/>
    </xf>
    <xf numFmtId="0" fontId="1" fillId="2" borderId="0" xfId="0" applyFont="1" applyFill="1" applyAlignment="1">
      <alignment horizontal="left"/>
    </xf>
    <xf numFmtId="0" fontId="9" fillId="2" borderId="0" xfId="0" applyFont="1" applyFill="1" applyAlignment="1">
      <alignment horizontal="left"/>
    </xf>
    <xf numFmtId="0" fontId="0" fillId="0" borderId="3" xfId="0" applyBorder="1"/>
    <xf numFmtId="0" fontId="1" fillId="2" borderId="27" xfId="0" applyFont="1" applyFill="1" applyBorder="1"/>
    <xf numFmtId="0" fontId="1" fillId="2" borderId="28" xfId="0" applyFont="1" applyFill="1" applyBorder="1"/>
    <xf numFmtId="0" fontId="1" fillId="2" borderId="26" xfId="0" applyFont="1" applyFill="1" applyBorder="1"/>
    <xf numFmtId="0" fontId="0" fillId="0" borderId="27" xfId="0" applyBorder="1"/>
    <xf numFmtId="0" fontId="1" fillId="0" borderId="29" xfId="0" applyFont="1" applyBorder="1"/>
    <xf numFmtId="0" fontId="1" fillId="0" borderId="28" xfId="0" applyFont="1" applyBorder="1"/>
    <xf numFmtId="0" fontId="1" fillId="0" borderId="26" xfId="0" applyFont="1" applyBorder="1"/>
    <xf numFmtId="0" fontId="12" fillId="2" borderId="0" xfId="0" applyFont="1" applyFill="1"/>
    <xf numFmtId="0" fontId="13" fillId="2" borderId="0" xfId="0" applyFont="1" applyFill="1"/>
    <xf numFmtId="0" fontId="14" fillId="2" borderId="0" xfId="0" applyFont="1" applyFill="1"/>
    <xf numFmtId="0" fontId="0" fillId="2" borderId="0" xfId="0" applyFill="1" applyAlignment="1">
      <alignment horizontal="left"/>
    </xf>
    <xf numFmtId="0" fontId="5"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1" fillId="0" borderId="2" xfId="0" applyFont="1" applyBorder="1" applyAlignment="1">
      <alignment horizontal="center" vertical="center"/>
    </xf>
    <xf numFmtId="0" fontId="7" fillId="5" borderId="0" xfId="0" applyFont="1" applyFill="1" applyAlignment="1">
      <alignment horizontal="left"/>
    </xf>
    <xf numFmtId="0" fontId="7" fillId="3" borderId="0" xfId="0" applyFont="1" applyFill="1" applyAlignment="1">
      <alignment horizontal="left"/>
    </xf>
    <xf numFmtId="0" fontId="7" fillId="4" borderId="0" xfId="0" applyFont="1" applyFill="1" applyAlignment="1">
      <alignment horizontal="left"/>
    </xf>
    <xf numFmtId="0" fontId="1" fillId="3" borderId="0" xfId="0" applyFont="1" applyFill="1" applyAlignment="1">
      <alignment horizontal="center"/>
    </xf>
    <xf numFmtId="0" fontId="1" fillId="4" borderId="0" xfId="0" applyFont="1" applyFill="1" applyAlignment="1">
      <alignment horizontal="center"/>
    </xf>
    <xf numFmtId="0" fontId="0" fillId="0" borderId="0" xfId="0" applyAlignment="1">
      <alignment horizontal="left" vertical="top"/>
    </xf>
    <xf numFmtId="0" fontId="0" fillId="0" borderId="0" xfId="0" applyAlignment="1">
      <alignment horizontal="left" vertical="center"/>
    </xf>
    <xf numFmtId="0" fontId="1" fillId="5" borderId="0" xfId="0" applyFont="1" applyFill="1" applyAlignment="1">
      <alignment horizontal="center"/>
    </xf>
    <xf numFmtId="0" fontId="1" fillId="0" borderId="3" xfId="0" applyFont="1" applyBorder="1" applyAlignment="1">
      <alignment horizontal="center" vertical="center"/>
    </xf>
    <xf numFmtId="0" fontId="0" fillId="4" borderId="0" xfId="0" applyFill="1" applyAlignment="1">
      <alignment horizontal="left" vertical="top"/>
    </xf>
    <xf numFmtId="0" fontId="1" fillId="0" borderId="0" xfId="0" applyFont="1" applyAlignment="1">
      <alignment horizontal="center"/>
    </xf>
    <xf numFmtId="0" fontId="1" fillId="0" borderId="9" xfId="0" applyFont="1" applyBorder="1" applyAlignment="1">
      <alignment horizontal="center" vertical="center"/>
    </xf>
    <xf numFmtId="0" fontId="0" fillId="0" borderId="9" xfId="0" applyBorder="1" applyAlignment="1">
      <alignment horizontal="left" vertical="top"/>
    </xf>
    <xf numFmtId="0" fontId="0" fillId="0" borderId="6" xfId="0" applyBorder="1" applyAlignment="1">
      <alignment horizontal="left" vertical="top"/>
    </xf>
    <xf numFmtId="0" fontId="0" fillId="0" borderId="8" xfId="0" applyBorder="1" applyAlignment="1">
      <alignment horizontal="left" vertical="top"/>
    </xf>
    <xf numFmtId="0" fontId="1" fillId="0" borderId="1" xfId="0" applyFont="1" applyBorder="1" applyAlignment="1">
      <alignment horizontal="center" vertical="center"/>
    </xf>
    <xf numFmtId="0" fontId="0" fillId="0" borderId="9" xfId="0" applyBorder="1" applyAlignment="1">
      <alignment horizontal="left"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left" vertical="top" wrapText="1"/>
    </xf>
    <xf numFmtId="0" fontId="0" fillId="0" borderId="8" xfId="0" applyBorder="1" applyAlignment="1">
      <alignment horizontal="left"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5" fillId="2" borderId="0" xfId="0" applyFont="1" applyFill="1" applyAlignment="1">
      <alignment horizontal="left"/>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24125642638791"/>
          <c:y val="5.0925925925925923E-2"/>
          <c:w val="0.54837532181146309"/>
          <c:h val="0.75428988043161282"/>
        </c:manualLayout>
      </c:layout>
      <c:barChart>
        <c:barDir val="col"/>
        <c:grouping val="stacked"/>
        <c:varyColors val="0"/>
        <c:ser>
          <c:idx val="0"/>
          <c:order val="0"/>
          <c:tx>
            <c:strRef>
              <c:f>results!$B$7</c:f>
              <c:strCache>
                <c:ptCount val="1"/>
                <c:pt idx="0">
                  <c:v>Recyclate</c:v>
                </c:pt>
              </c:strCache>
            </c:strRef>
          </c:tx>
          <c:spPr>
            <a:solidFill>
              <a:schemeClr val="bg2">
                <a:lumMod val="90000"/>
              </a:schemeClr>
            </a:solidFill>
            <a:ln>
              <a:noFill/>
            </a:ln>
            <a:effectLst/>
          </c:spPr>
          <c:invertIfNegative val="0"/>
          <c:cat>
            <c:strRef>
              <c:f>results!$C$3:$E$3</c:f>
              <c:strCache>
                <c:ptCount val="3"/>
                <c:pt idx="0">
                  <c:v>Incineration w/o carbon capture</c:v>
                </c:pt>
                <c:pt idx="1">
                  <c:v>Mechanical recycling</c:v>
                </c:pt>
                <c:pt idx="2">
                  <c:v>Chemical recycling</c:v>
                </c:pt>
              </c:strCache>
            </c:strRef>
          </c:cat>
          <c:val>
            <c:numRef>
              <c:f>results!$C$7:$E$7</c:f>
              <c:numCache>
                <c:formatCode>0</c:formatCode>
                <c:ptCount val="3"/>
                <c:pt idx="0">
                  <c:v>0</c:v>
                </c:pt>
                <c:pt idx="1">
                  <c:v>548.4490679999999</c:v>
                </c:pt>
                <c:pt idx="2">
                  <c:v>573.32356915679998</c:v>
                </c:pt>
              </c:numCache>
            </c:numRef>
          </c:val>
          <c:extLst>
            <c:ext xmlns:c16="http://schemas.microsoft.com/office/drawing/2014/chart" uri="{C3380CC4-5D6E-409C-BE32-E72D297353CC}">
              <c16:uniqueId val="{0000000B-F9F6-4D89-8EA0-1CCA6C1E08E7}"/>
            </c:ext>
          </c:extLst>
        </c:ser>
        <c:ser>
          <c:idx val="1"/>
          <c:order val="1"/>
          <c:tx>
            <c:strRef>
              <c:f>results!$B$8</c:f>
              <c:strCache>
                <c:ptCount val="1"/>
                <c:pt idx="0">
                  <c:v>Other outputs</c:v>
                </c:pt>
              </c:strCache>
            </c:strRef>
          </c:tx>
          <c:spPr>
            <a:pattFill prst="pct75">
              <a:fgClr>
                <a:schemeClr val="bg2">
                  <a:lumMod val="50000"/>
                </a:schemeClr>
              </a:fgClr>
              <a:bgClr>
                <a:schemeClr val="bg1"/>
              </a:bgClr>
            </a:pattFill>
            <a:ln>
              <a:noFill/>
            </a:ln>
            <a:effectLst/>
          </c:spPr>
          <c:invertIfNegative val="0"/>
          <c:cat>
            <c:strRef>
              <c:f>results!$C$3:$E$3</c:f>
              <c:strCache>
                <c:ptCount val="3"/>
                <c:pt idx="0">
                  <c:v>Incineration w/o carbon capture</c:v>
                </c:pt>
                <c:pt idx="1">
                  <c:v>Mechanical recycling</c:v>
                </c:pt>
                <c:pt idx="2">
                  <c:v>Chemical recycling</c:v>
                </c:pt>
              </c:strCache>
            </c:strRef>
          </c:cat>
          <c:val>
            <c:numRef>
              <c:f>results!$C$8:$E$8</c:f>
              <c:numCache>
                <c:formatCode>0</c:formatCode>
                <c:ptCount val="3"/>
                <c:pt idx="0">
                  <c:v>1.1368683772161603E-13</c:v>
                </c:pt>
                <c:pt idx="1">
                  <c:v>0</c:v>
                </c:pt>
                <c:pt idx="2">
                  <c:v>7.4710418400000016</c:v>
                </c:pt>
              </c:numCache>
            </c:numRef>
          </c:val>
          <c:extLst>
            <c:ext xmlns:c16="http://schemas.microsoft.com/office/drawing/2014/chart" uri="{C3380CC4-5D6E-409C-BE32-E72D297353CC}">
              <c16:uniqueId val="{0000000C-F9F6-4D89-8EA0-1CCA6C1E08E7}"/>
            </c:ext>
          </c:extLst>
        </c:ser>
        <c:ser>
          <c:idx val="2"/>
          <c:order val="2"/>
          <c:tx>
            <c:strRef>
              <c:f>results!$B$9</c:f>
              <c:strCache>
                <c:ptCount val="1"/>
                <c:pt idx="0">
                  <c:v>Gas</c:v>
                </c:pt>
              </c:strCache>
            </c:strRef>
          </c:tx>
          <c:spPr>
            <a:pattFill prst="dkDnDiag">
              <a:fgClr>
                <a:schemeClr val="bg2">
                  <a:lumMod val="25000"/>
                </a:schemeClr>
              </a:fgClr>
              <a:bgClr>
                <a:schemeClr val="bg1"/>
              </a:bgClr>
            </a:pattFill>
            <a:ln>
              <a:noFill/>
            </a:ln>
            <a:effectLst/>
          </c:spPr>
          <c:invertIfNegative val="0"/>
          <c:cat>
            <c:strRef>
              <c:f>results!$C$3:$E$3</c:f>
              <c:strCache>
                <c:ptCount val="3"/>
                <c:pt idx="0">
                  <c:v>Incineration w/o carbon capture</c:v>
                </c:pt>
                <c:pt idx="1">
                  <c:v>Mechanical recycling</c:v>
                </c:pt>
                <c:pt idx="2">
                  <c:v>Chemical recycling</c:v>
                </c:pt>
              </c:strCache>
            </c:strRef>
          </c:cat>
          <c:val>
            <c:numRef>
              <c:f>results!$C$9:$E$9</c:f>
              <c:numCache>
                <c:formatCode>0</c:formatCode>
                <c:ptCount val="3"/>
                <c:pt idx="0">
                  <c:v>0</c:v>
                </c:pt>
                <c:pt idx="1">
                  <c:v>0</c:v>
                </c:pt>
                <c:pt idx="2">
                  <c:v>68.075955000000022</c:v>
                </c:pt>
              </c:numCache>
            </c:numRef>
          </c:val>
          <c:extLst>
            <c:ext xmlns:c16="http://schemas.microsoft.com/office/drawing/2014/chart" uri="{C3380CC4-5D6E-409C-BE32-E72D297353CC}">
              <c16:uniqueId val="{0000000D-F9F6-4D89-8EA0-1CCA6C1E08E7}"/>
            </c:ext>
          </c:extLst>
        </c:ser>
        <c:ser>
          <c:idx val="3"/>
          <c:order val="3"/>
          <c:tx>
            <c:strRef>
              <c:f>results!$B$10</c:f>
              <c:strCache>
                <c:ptCount val="1"/>
                <c:pt idx="0">
                  <c:v>Captured carbon</c:v>
                </c:pt>
              </c:strCache>
            </c:strRef>
          </c:tx>
          <c:spPr>
            <a:solidFill>
              <a:schemeClr val="bg2">
                <a:lumMod val="50000"/>
              </a:schemeClr>
            </a:solidFill>
            <a:ln>
              <a:noFill/>
            </a:ln>
            <a:effectLst/>
          </c:spPr>
          <c:invertIfNegative val="0"/>
          <c:cat>
            <c:strRef>
              <c:f>results!$C$3:$E$3</c:f>
              <c:strCache>
                <c:ptCount val="3"/>
                <c:pt idx="0">
                  <c:v>Incineration w/o carbon capture</c:v>
                </c:pt>
                <c:pt idx="1">
                  <c:v>Mechanical recycling</c:v>
                </c:pt>
                <c:pt idx="2">
                  <c:v>Chemical recycling</c:v>
                </c:pt>
              </c:strCache>
            </c:strRef>
          </c:cat>
          <c:val>
            <c:numRef>
              <c:f>results!$C$10:$E$10</c:f>
              <c:numCache>
                <c:formatCode>0</c:formatCode>
                <c:ptCount val="3"/>
                <c:pt idx="0">
                  <c:v>635.44712400000003</c:v>
                </c:pt>
                <c:pt idx="1">
                  <c:v>285.15598890405118</c:v>
                </c:pt>
                <c:pt idx="2">
                  <c:v>219.84662262939588</c:v>
                </c:pt>
              </c:numCache>
            </c:numRef>
          </c:val>
          <c:extLst>
            <c:ext xmlns:c16="http://schemas.microsoft.com/office/drawing/2014/chart" uri="{C3380CC4-5D6E-409C-BE32-E72D297353CC}">
              <c16:uniqueId val="{0000000E-F9F6-4D89-8EA0-1CCA6C1E08E7}"/>
            </c:ext>
          </c:extLst>
        </c:ser>
        <c:ser>
          <c:idx val="4"/>
          <c:order val="4"/>
          <c:tx>
            <c:strRef>
              <c:f>results!$B$11</c:f>
              <c:strCache>
                <c:ptCount val="1"/>
                <c:pt idx="0">
                  <c:v>Ash</c:v>
                </c:pt>
              </c:strCache>
            </c:strRef>
          </c:tx>
          <c:spPr>
            <a:pattFill prst="dkVert">
              <a:fgClr>
                <a:schemeClr val="bg2">
                  <a:lumMod val="75000"/>
                </a:schemeClr>
              </a:fgClr>
              <a:bgClr>
                <a:schemeClr val="bg1"/>
              </a:bgClr>
            </a:pattFill>
            <a:ln>
              <a:noFill/>
            </a:ln>
            <a:effectLst/>
          </c:spPr>
          <c:invertIfNegative val="0"/>
          <c:cat>
            <c:strRef>
              <c:f>results!$C$3:$E$3</c:f>
              <c:strCache>
                <c:ptCount val="3"/>
                <c:pt idx="0">
                  <c:v>Incineration w/o carbon capture</c:v>
                </c:pt>
                <c:pt idx="1">
                  <c:v>Mechanical recycling</c:v>
                </c:pt>
                <c:pt idx="2">
                  <c:v>Chemical recycling</c:v>
                </c:pt>
              </c:strCache>
            </c:strRef>
          </c:cat>
          <c:val>
            <c:numRef>
              <c:f>results!$C$11:$E$11</c:f>
              <c:numCache>
                <c:formatCode>0</c:formatCode>
                <c:ptCount val="3"/>
                <c:pt idx="0">
                  <c:v>40.863839999999996</c:v>
                </c:pt>
                <c:pt idx="1">
                  <c:v>18.662590353083999</c:v>
                </c:pt>
                <c:pt idx="2">
                  <c:v>14.934137394655526</c:v>
                </c:pt>
              </c:numCache>
            </c:numRef>
          </c:val>
          <c:extLst>
            <c:ext xmlns:c16="http://schemas.microsoft.com/office/drawing/2014/chart" uri="{C3380CC4-5D6E-409C-BE32-E72D297353CC}">
              <c16:uniqueId val="{0000000F-F9F6-4D89-8EA0-1CCA6C1E08E7}"/>
            </c:ext>
          </c:extLst>
        </c:ser>
        <c:ser>
          <c:idx val="5"/>
          <c:order val="5"/>
          <c:tx>
            <c:strRef>
              <c:f>results!$B$12</c:f>
              <c:strCache>
                <c:ptCount val="1"/>
                <c:pt idx="0">
                  <c:v>Flue gas</c:v>
                </c:pt>
              </c:strCache>
            </c:strRef>
          </c:tx>
          <c:spPr>
            <a:solidFill>
              <a:schemeClr val="tx1"/>
            </a:solidFill>
            <a:ln>
              <a:noFill/>
            </a:ln>
            <a:effectLst/>
          </c:spPr>
          <c:invertIfNegative val="0"/>
          <c:cat>
            <c:strRef>
              <c:f>results!$C$3:$E$3</c:f>
              <c:strCache>
                <c:ptCount val="3"/>
                <c:pt idx="0">
                  <c:v>Incineration w/o carbon capture</c:v>
                </c:pt>
                <c:pt idx="1">
                  <c:v>Mechanical recycling</c:v>
                </c:pt>
                <c:pt idx="2">
                  <c:v>Chemical recycling</c:v>
                </c:pt>
              </c:strCache>
            </c:strRef>
          </c:cat>
          <c:val>
            <c:numRef>
              <c:f>results!$C$12:$E$12</c:f>
              <c:numCache>
                <c:formatCode>0</c:formatCode>
                <c:ptCount val="3"/>
                <c:pt idx="0">
                  <c:v>323.68903599999993</c:v>
                </c:pt>
                <c:pt idx="1">
                  <c:v>147.7323527428648</c:v>
                </c:pt>
                <c:pt idx="2">
                  <c:v>116.34867397914849</c:v>
                </c:pt>
              </c:numCache>
            </c:numRef>
          </c:val>
          <c:extLst>
            <c:ext xmlns:c16="http://schemas.microsoft.com/office/drawing/2014/chart" uri="{C3380CC4-5D6E-409C-BE32-E72D297353CC}">
              <c16:uniqueId val="{00000010-F9F6-4D89-8EA0-1CCA6C1E08E7}"/>
            </c:ext>
          </c:extLst>
        </c:ser>
        <c:dLbls>
          <c:showLegendKey val="0"/>
          <c:showVal val="0"/>
          <c:showCatName val="0"/>
          <c:showSerName val="0"/>
          <c:showPercent val="0"/>
          <c:showBubbleSize val="0"/>
        </c:dLbls>
        <c:gapWidth val="150"/>
        <c:overlap val="100"/>
        <c:axId val="1692933584"/>
        <c:axId val="1692946480"/>
      </c:barChart>
      <c:catAx>
        <c:axId val="1692933584"/>
        <c:scaling>
          <c:orientation val="minMax"/>
        </c:scaling>
        <c:delete val="0"/>
        <c:axPos val="b"/>
        <c:numFmt formatCode="General" sourceLinked="1"/>
        <c:majorTickMark val="none"/>
        <c:minorTickMark val="none"/>
        <c:tickLblPos val="nextTo"/>
        <c:spPr>
          <a:noFill/>
          <a:ln w="158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DK"/>
          </a:p>
        </c:txPr>
        <c:crossAx val="1692946480"/>
        <c:crosses val="autoZero"/>
        <c:auto val="1"/>
        <c:lblAlgn val="ctr"/>
        <c:lblOffset val="100"/>
        <c:noMultiLvlLbl val="0"/>
      </c:catAx>
      <c:valAx>
        <c:axId val="1692946480"/>
        <c:scaling>
          <c:orientation val="minMax"/>
          <c:max val="1000"/>
          <c:min val="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da-DK" sz="1000" b="0" i="0" u="none" strike="noStrike" baseline="0">
                    <a:effectLst/>
                  </a:rPr>
                  <a:t>Distribution of outputs (kg) per t of treated post-consumer plastic waste</a:t>
                </a:r>
                <a:endParaRPr lang="da-DK" sz="1000"/>
              </a:p>
            </c:rich>
          </c:tx>
          <c:layout>
            <c:manualLayout>
              <c:xMode val="edge"/>
              <c:yMode val="edge"/>
              <c:x val="1.0281504957524823E-3"/>
              <c:y val="6.4872204482761403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DK"/>
          </a:p>
        </c:txPr>
        <c:crossAx val="1692933584"/>
        <c:crosses val="autoZero"/>
        <c:crossBetween val="between"/>
        <c:majorUnit val="200"/>
      </c:valAx>
      <c:spPr>
        <a:noFill/>
        <a:ln>
          <a:solidFill>
            <a:schemeClr val="tx1"/>
          </a:solidFill>
        </a:ln>
        <a:effectLst/>
      </c:spPr>
    </c:plotArea>
    <c:legend>
      <c:legendPos val="b"/>
      <c:layout>
        <c:manualLayout>
          <c:xMode val="edge"/>
          <c:yMode val="edge"/>
          <c:x val="0.69648622920995651"/>
          <c:y val="0.17168986667888156"/>
          <c:w val="0.30161030206662859"/>
          <c:h val="0.54571813939924163"/>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04547706456313"/>
          <c:y val="5.0925925925925923E-2"/>
          <c:w val="0.78574015858717272"/>
          <c:h val="0.75428988043161282"/>
        </c:manualLayout>
      </c:layout>
      <c:barChart>
        <c:barDir val="col"/>
        <c:grouping val="stacked"/>
        <c:varyColors val="0"/>
        <c:ser>
          <c:idx val="0"/>
          <c:order val="0"/>
          <c:tx>
            <c:strRef>
              <c:f>results!$B$27</c:f>
              <c:strCache>
                <c:ptCount val="1"/>
                <c:pt idx="0">
                  <c:v>Energy recovered per generated waste (gross)</c:v>
                </c:pt>
              </c:strCache>
            </c:strRef>
          </c:tx>
          <c:spPr>
            <a:solidFill>
              <a:schemeClr val="bg2">
                <a:lumMod val="50000"/>
              </a:schemeClr>
            </a:solidFill>
            <a:ln>
              <a:noFill/>
            </a:ln>
            <a:effectLst/>
          </c:spPr>
          <c:invertIfNegative val="0"/>
          <c:cat>
            <c:strRef>
              <c:f>results!$C$3:$E$3</c:f>
              <c:strCache>
                <c:ptCount val="3"/>
                <c:pt idx="0">
                  <c:v>Incineration w/o carbon capture</c:v>
                </c:pt>
                <c:pt idx="1">
                  <c:v>Mechanical recycling</c:v>
                </c:pt>
                <c:pt idx="2">
                  <c:v>Chemical recycling</c:v>
                </c:pt>
              </c:strCache>
            </c:strRef>
          </c:cat>
          <c:val>
            <c:numRef>
              <c:f>results!$C$27:$E$27</c:f>
              <c:numCache>
                <c:formatCode>0.00</c:formatCode>
                <c:ptCount val="3"/>
                <c:pt idx="0">
                  <c:v>0.9104851022992918</c:v>
                </c:pt>
                <c:pt idx="1">
                  <c:v>0.35543224373458326</c:v>
                </c:pt>
                <c:pt idx="2">
                  <c:v>0.34078022827708188</c:v>
                </c:pt>
              </c:numCache>
            </c:numRef>
          </c:val>
          <c:extLst>
            <c:ext xmlns:c16="http://schemas.microsoft.com/office/drawing/2014/chart" uri="{C3380CC4-5D6E-409C-BE32-E72D297353CC}">
              <c16:uniqueId val="{00000000-1CF7-409C-8148-CBE690872391}"/>
            </c:ext>
          </c:extLst>
        </c:ser>
        <c:dLbls>
          <c:showLegendKey val="0"/>
          <c:showVal val="0"/>
          <c:showCatName val="0"/>
          <c:showSerName val="0"/>
          <c:showPercent val="0"/>
          <c:showBubbleSize val="0"/>
        </c:dLbls>
        <c:gapWidth val="150"/>
        <c:overlap val="100"/>
        <c:axId val="1692933584"/>
        <c:axId val="1692946480"/>
      </c:barChart>
      <c:catAx>
        <c:axId val="1692933584"/>
        <c:scaling>
          <c:orientation val="minMax"/>
        </c:scaling>
        <c:delete val="0"/>
        <c:axPos val="b"/>
        <c:numFmt formatCode="General" sourceLinked="1"/>
        <c:majorTickMark val="none"/>
        <c:minorTickMark val="none"/>
        <c:tickLblPos val="nextTo"/>
        <c:spPr>
          <a:noFill/>
          <a:ln w="158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DK"/>
          </a:p>
        </c:txPr>
        <c:crossAx val="1692946480"/>
        <c:crosses val="autoZero"/>
        <c:auto val="1"/>
        <c:lblAlgn val="ctr"/>
        <c:lblOffset val="100"/>
        <c:noMultiLvlLbl val="0"/>
      </c:catAx>
      <c:valAx>
        <c:axId val="1692946480"/>
        <c:scaling>
          <c:orientation val="minMax"/>
          <c:max val="1"/>
          <c:min val="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da-DK" sz="1000" b="0" i="0" u="none" strike="noStrike" baseline="0">
                    <a:effectLst/>
                  </a:rPr>
                  <a:t>Energy recovery (%)</a:t>
                </a:r>
                <a:endParaRPr lang="da-DK" sz="1000"/>
              </a:p>
            </c:rich>
          </c:tx>
          <c:layout>
            <c:manualLayout>
              <c:xMode val="edge"/>
              <c:yMode val="edge"/>
              <c:x val="4.1397803093858538E-3"/>
              <c:y val="0.236656644441340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DK"/>
          </a:p>
        </c:txPr>
        <c:crossAx val="1692933584"/>
        <c:crosses val="autoZero"/>
        <c:crossBetween val="between"/>
        <c:majorUnit val="0.2"/>
        <c:minorUnit val="5.000000000000001E-2"/>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40966</xdr:colOff>
      <xdr:row>28</xdr:row>
      <xdr:rowOff>256047</xdr:rowOff>
    </xdr:from>
    <xdr:to>
      <xdr:col>3</xdr:col>
      <xdr:colOff>1648950</xdr:colOff>
      <xdr:row>77</xdr:row>
      <xdr:rowOff>152809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66" y="4926370"/>
          <a:ext cx="7241049" cy="9329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635000</xdr:colOff>
      <xdr:row>16</xdr:row>
      <xdr:rowOff>151190</xdr:rowOff>
    </xdr:from>
    <xdr:to>
      <xdr:col>6</xdr:col>
      <xdr:colOff>1015120</xdr:colOff>
      <xdr:row>24</xdr:row>
      <xdr:rowOff>14047</xdr:rowOff>
    </xdr:to>
    <xdr:pic>
      <xdr:nvPicPr>
        <xdr:cNvPr id="2" name="Billede 1">
          <a:extLst>
            <a:ext uri="{FF2B5EF4-FFF2-40B4-BE49-F238E27FC236}">
              <a16:creationId xmlns:a16="http://schemas.microsoft.com/office/drawing/2014/main" id="{D3A00C0F-88C8-4489-A17A-ABD08DED36BE}"/>
            </a:ext>
          </a:extLst>
        </xdr:cNvPr>
        <xdr:cNvPicPr>
          <a:picLocks noChangeAspect="1"/>
        </xdr:cNvPicPr>
      </xdr:nvPicPr>
      <xdr:blipFill>
        <a:blip xmlns:r="http://schemas.openxmlformats.org/officeDocument/2006/relationships" r:embed="rId1"/>
        <a:stretch>
          <a:fillRect/>
        </a:stretch>
      </xdr:blipFill>
      <xdr:spPr>
        <a:xfrm>
          <a:off x="635000" y="3356428"/>
          <a:ext cx="5853215" cy="13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4</xdr:col>
      <xdr:colOff>1957762</xdr:colOff>
      <xdr:row>28</xdr:row>
      <xdr:rowOff>117190</xdr:rowOff>
    </xdr:to>
    <xdr:pic>
      <xdr:nvPicPr>
        <xdr:cNvPr id="5" name="Bille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646545" y="3278909"/>
          <a:ext cx="9704762" cy="2276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6</xdr:col>
      <xdr:colOff>3714935</xdr:colOff>
      <xdr:row>30</xdr:row>
      <xdr:rowOff>68986</xdr:rowOff>
    </xdr:to>
    <xdr:pic>
      <xdr:nvPicPr>
        <xdr:cNvPr id="3" name="Billed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46545" y="2805545"/>
          <a:ext cx="11714286" cy="22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36794</xdr:colOff>
      <xdr:row>1</xdr:row>
      <xdr:rowOff>126245</xdr:rowOff>
    </xdr:from>
    <xdr:to>
      <xdr:col>16</xdr:col>
      <xdr:colOff>112176</xdr:colOff>
      <xdr:row>19</xdr:row>
      <xdr:rowOff>141205</xdr:rowOff>
    </xdr:to>
    <xdr:graphicFrame macro="">
      <xdr:nvGraphicFramePr>
        <xdr:cNvPr id="6" name="Diagram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15680</xdr:colOff>
      <xdr:row>20</xdr:row>
      <xdr:rowOff>38003</xdr:rowOff>
    </xdr:from>
    <xdr:to>
      <xdr:col>13</xdr:col>
      <xdr:colOff>452708</xdr:colOff>
      <xdr:row>38</xdr:row>
      <xdr:rowOff>92161</xdr:rowOff>
    </xdr:to>
    <xdr:graphicFrame macro="">
      <xdr:nvGraphicFramePr>
        <xdr:cNvPr id="3" name="Diagram 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8"/>
  <sheetViews>
    <sheetView tabSelected="1" zoomScale="62" zoomScaleNormal="100" workbookViewId="0"/>
  </sheetViews>
  <sheetFormatPr baseColWidth="10" defaultColWidth="8.6640625" defaultRowHeight="15" x14ac:dyDescent="0.2"/>
  <cols>
    <col min="1" max="1" width="42.5" style="9" customWidth="1"/>
    <col min="2" max="2" width="27.6640625" style="9" customWidth="1"/>
    <col min="3" max="3" width="10.33203125" style="9" bestFit="1" customWidth="1"/>
    <col min="4" max="4" width="38.6640625" style="9" bestFit="1" customWidth="1"/>
    <col min="5" max="5" width="13.6640625" style="9" bestFit="1" customWidth="1"/>
    <col min="6" max="6" width="123.6640625" style="9" bestFit="1" customWidth="1"/>
    <col min="7" max="7" width="16" style="9" bestFit="1" customWidth="1"/>
    <col min="8" max="8" width="13.33203125" style="9" bestFit="1" customWidth="1"/>
    <col min="9" max="9" width="16.33203125" style="9" bestFit="1" customWidth="1"/>
    <col min="10" max="10" width="13.6640625" style="9" bestFit="1" customWidth="1"/>
    <col min="11" max="14" width="8.6640625" style="9"/>
    <col min="15" max="15" width="9.5" style="9" customWidth="1"/>
    <col min="16" max="16384" width="8.6640625" style="9"/>
  </cols>
  <sheetData>
    <row r="1" spans="1:2" ht="47" x14ac:dyDescent="0.55000000000000004">
      <c r="A1" s="209" t="s">
        <v>3113</v>
      </c>
    </row>
    <row r="2" spans="1:2" ht="19" x14ac:dyDescent="0.25">
      <c r="A2" s="207" t="s">
        <v>3110</v>
      </c>
    </row>
    <row r="3" spans="1:2" ht="19" x14ac:dyDescent="0.25">
      <c r="A3" s="208" t="s">
        <v>3111</v>
      </c>
    </row>
    <row r="4" spans="1:2" x14ac:dyDescent="0.2">
      <c r="A4" s="181"/>
    </row>
    <row r="6" spans="1:2" ht="26" x14ac:dyDescent="0.3">
      <c r="A6" s="22" t="s">
        <v>145</v>
      </c>
    </row>
    <row r="7" spans="1:2" x14ac:dyDescent="0.2">
      <c r="A7" s="105"/>
      <c r="B7" s="9" t="s">
        <v>3107</v>
      </c>
    </row>
    <row r="8" spans="1:2" x14ac:dyDescent="0.2">
      <c r="A8" s="106"/>
      <c r="B8" s="9" t="s">
        <v>3108</v>
      </c>
    </row>
    <row r="10" spans="1:2" ht="26" x14ac:dyDescent="0.3">
      <c r="A10" s="22" t="s">
        <v>2669</v>
      </c>
    </row>
    <row r="11" spans="1:2" ht="14.5" customHeight="1" x14ac:dyDescent="0.2">
      <c r="A11" s="9" t="s">
        <v>2670</v>
      </c>
    </row>
    <row r="12" spans="1:2" x14ac:dyDescent="0.2">
      <c r="A12" s="76"/>
      <c r="B12" s="9" t="s">
        <v>98</v>
      </c>
    </row>
    <row r="13" spans="1:2" x14ac:dyDescent="0.2">
      <c r="A13" s="108"/>
      <c r="B13" s="9" t="s">
        <v>97</v>
      </c>
    </row>
    <row r="14" spans="1:2" x14ac:dyDescent="0.2">
      <c r="A14" s="99"/>
      <c r="B14" s="9" t="s">
        <v>120</v>
      </c>
    </row>
    <row r="16" spans="1:2" ht="26" x14ac:dyDescent="0.3">
      <c r="A16" s="22" t="s">
        <v>113</v>
      </c>
    </row>
    <row r="17" spans="1:12" x14ac:dyDescent="0.2">
      <c r="A17" s="58">
        <v>1</v>
      </c>
      <c r="B17" s="9" t="s">
        <v>132</v>
      </c>
    </row>
    <row r="18" spans="1:12" x14ac:dyDescent="0.2">
      <c r="A18" s="58">
        <v>2</v>
      </c>
      <c r="B18" s="9" t="s">
        <v>131</v>
      </c>
    </row>
    <row r="19" spans="1:12" x14ac:dyDescent="0.2">
      <c r="A19" s="58">
        <v>3</v>
      </c>
      <c r="B19" s="210" t="s">
        <v>115</v>
      </c>
      <c r="C19" s="210"/>
      <c r="D19" s="210"/>
      <c r="E19" s="210"/>
      <c r="F19" s="210"/>
      <c r="G19" s="210"/>
      <c r="H19" s="210"/>
      <c r="I19" s="210"/>
      <c r="J19" s="210"/>
      <c r="K19" s="210"/>
      <c r="L19" s="210"/>
    </row>
    <row r="20" spans="1:12" x14ac:dyDescent="0.2">
      <c r="A20" s="58">
        <v>4</v>
      </c>
      <c r="B20" s="9" t="s">
        <v>130</v>
      </c>
    </row>
    <row r="21" spans="1:12" x14ac:dyDescent="0.2">
      <c r="A21" s="58">
        <v>5</v>
      </c>
      <c r="B21" s="9" t="s">
        <v>216</v>
      </c>
    </row>
    <row r="22" spans="1:12" x14ac:dyDescent="0.2">
      <c r="A22" s="58">
        <v>6</v>
      </c>
      <c r="B22" s="9" t="s">
        <v>2574</v>
      </c>
    </row>
    <row r="23" spans="1:12" x14ac:dyDescent="0.2">
      <c r="A23" s="58">
        <v>7</v>
      </c>
      <c r="B23" s="9" t="s">
        <v>2575</v>
      </c>
    </row>
    <row r="24" spans="1:12" x14ac:dyDescent="0.2">
      <c r="A24" s="58">
        <v>8</v>
      </c>
      <c r="B24" s="9" t="s">
        <v>2824</v>
      </c>
    </row>
    <row r="25" spans="1:12" x14ac:dyDescent="0.2">
      <c r="A25" s="58">
        <v>9</v>
      </c>
      <c r="B25" s="9" t="s">
        <v>2825</v>
      </c>
    </row>
    <row r="26" spans="1:12" x14ac:dyDescent="0.2">
      <c r="A26" s="58">
        <v>10</v>
      </c>
      <c r="B26" s="9" t="s">
        <v>2831</v>
      </c>
    </row>
    <row r="27" spans="1:12" x14ac:dyDescent="0.2">
      <c r="A27" s="58">
        <v>11</v>
      </c>
      <c r="B27" s="9" t="s">
        <v>2846</v>
      </c>
    </row>
    <row r="28" spans="1:12" x14ac:dyDescent="0.2">
      <c r="A28" s="58"/>
    </row>
    <row r="29" spans="1:12" ht="22.5" customHeight="1" x14ac:dyDescent="0.3">
      <c r="A29" s="132" t="s">
        <v>2875</v>
      </c>
    </row>
    <row r="30" spans="1:12" x14ac:dyDescent="0.2">
      <c r="A30" s="58"/>
    </row>
    <row r="31" spans="1:12" x14ac:dyDescent="0.2">
      <c r="A31" s="58"/>
    </row>
    <row r="32" spans="1:12" x14ac:dyDescent="0.2">
      <c r="A32" s="58"/>
    </row>
    <row r="33" spans="1:1" x14ac:dyDescent="0.2">
      <c r="A33" s="58"/>
    </row>
    <row r="34" spans="1:1" x14ac:dyDescent="0.2">
      <c r="A34" s="58"/>
    </row>
    <row r="35" spans="1:1" x14ac:dyDescent="0.2">
      <c r="A35" s="58"/>
    </row>
    <row r="36" spans="1:1" x14ac:dyDescent="0.2">
      <c r="A36" s="58"/>
    </row>
    <row r="37" spans="1:1" x14ac:dyDescent="0.2">
      <c r="A37" s="58"/>
    </row>
    <row r="38" spans="1:1" x14ac:dyDescent="0.2">
      <c r="A38" s="58"/>
    </row>
    <row r="39" spans="1:1" x14ac:dyDescent="0.2">
      <c r="A39" s="58"/>
    </row>
    <row r="40" spans="1:1" x14ac:dyDescent="0.2">
      <c r="A40" s="58"/>
    </row>
    <row r="41" spans="1:1" x14ac:dyDescent="0.2">
      <c r="A41" s="58"/>
    </row>
    <row r="42" spans="1:1" x14ac:dyDescent="0.2">
      <c r="A42" s="58"/>
    </row>
    <row r="43" spans="1:1" x14ac:dyDescent="0.2">
      <c r="A43" s="58"/>
    </row>
    <row r="44" spans="1:1" x14ac:dyDescent="0.2">
      <c r="A44" s="58"/>
    </row>
    <row r="45" spans="1:1" x14ac:dyDescent="0.2">
      <c r="A45" s="58"/>
    </row>
    <row r="46" spans="1:1" x14ac:dyDescent="0.2">
      <c r="A46" s="58"/>
    </row>
    <row r="47" spans="1:1" x14ac:dyDescent="0.2">
      <c r="A47" s="58"/>
    </row>
    <row r="48" spans="1:1" x14ac:dyDescent="0.2">
      <c r="A48" s="58"/>
    </row>
    <row r="49" spans="1:1" x14ac:dyDescent="0.2">
      <c r="A49" s="58"/>
    </row>
    <row r="50" spans="1:1" x14ac:dyDescent="0.2">
      <c r="A50" s="58"/>
    </row>
    <row r="51" spans="1:1" x14ac:dyDescent="0.2">
      <c r="A51" s="58"/>
    </row>
    <row r="52" spans="1:1" x14ac:dyDescent="0.2">
      <c r="A52" s="58"/>
    </row>
    <row r="53" spans="1:1" x14ac:dyDescent="0.2">
      <c r="A53" s="58"/>
    </row>
    <row r="54" spans="1:1" x14ac:dyDescent="0.2">
      <c r="A54" s="58"/>
    </row>
    <row r="55" spans="1:1" x14ac:dyDescent="0.2">
      <c r="A55" s="58"/>
    </row>
    <row r="56" spans="1:1" x14ac:dyDescent="0.2">
      <c r="A56" s="58"/>
    </row>
    <row r="57" spans="1:1" x14ac:dyDescent="0.2">
      <c r="A57" s="58"/>
    </row>
    <row r="58" spans="1:1" x14ac:dyDescent="0.2">
      <c r="A58" s="58"/>
    </row>
    <row r="59" spans="1:1" x14ac:dyDescent="0.2">
      <c r="A59" s="58"/>
    </row>
    <row r="60" spans="1:1" x14ac:dyDescent="0.2">
      <c r="A60" s="58"/>
    </row>
    <row r="61" spans="1:1" ht="38" customHeight="1" x14ac:dyDescent="0.2">
      <c r="A61" s="58"/>
    </row>
    <row r="62" spans="1:1" x14ac:dyDescent="0.2">
      <c r="A62" s="58"/>
    </row>
    <row r="63" spans="1:1" x14ac:dyDescent="0.2">
      <c r="A63" s="58"/>
    </row>
    <row r="64" spans="1:1" x14ac:dyDescent="0.2">
      <c r="A64" s="58"/>
    </row>
    <row r="65" spans="1:1" x14ac:dyDescent="0.2">
      <c r="A65" s="58"/>
    </row>
    <row r="66" spans="1:1" x14ac:dyDescent="0.2">
      <c r="A66" s="58"/>
    </row>
    <row r="67" spans="1:1" x14ac:dyDescent="0.2">
      <c r="A67" s="58"/>
    </row>
    <row r="68" spans="1:1" x14ac:dyDescent="0.2">
      <c r="A68" s="58"/>
    </row>
    <row r="69" spans="1:1" x14ac:dyDescent="0.2">
      <c r="A69" s="58"/>
    </row>
    <row r="70" spans="1:1" x14ac:dyDescent="0.2">
      <c r="A70" s="58"/>
    </row>
    <row r="71" spans="1:1" x14ac:dyDescent="0.2">
      <c r="A71" s="58"/>
    </row>
    <row r="72" spans="1:1" x14ac:dyDescent="0.2">
      <c r="A72" s="58"/>
    </row>
    <row r="73" spans="1:1" x14ac:dyDescent="0.2">
      <c r="A73" s="58"/>
    </row>
    <row r="74" spans="1:1" x14ac:dyDescent="0.2">
      <c r="A74" s="58"/>
    </row>
    <row r="75" spans="1:1" x14ac:dyDescent="0.2">
      <c r="A75" s="58"/>
    </row>
    <row r="76" spans="1:1" x14ac:dyDescent="0.2">
      <c r="A76" s="58"/>
    </row>
    <row r="77" spans="1:1" x14ac:dyDescent="0.2">
      <c r="A77" s="58"/>
    </row>
    <row r="78" spans="1:1" x14ac:dyDescent="0.2">
      <c r="A78" s="58"/>
    </row>
    <row r="79" spans="1:1" x14ac:dyDescent="0.2">
      <c r="A79" s="58"/>
    </row>
    <row r="80" spans="1:1" x14ac:dyDescent="0.2">
      <c r="A80" s="58"/>
    </row>
    <row r="81" spans="1:12" x14ac:dyDescent="0.2">
      <c r="A81" s="197" t="s">
        <v>3105</v>
      </c>
    </row>
    <row r="82" spans="1:12" x14ac:dyDescent="0.2">
      <c r="A82" s="198" t="s">
        <v>3106</v>
      </c>
    </row>
    <row r="83" spans="1:12" x14ac:dyDescent="0.2">
      <c r="A83" s="58"/>
    </row>
    <row r="84" spans="1:12" ht="27" thickBot="1" x14ac:dyDescent="0.35">
      <c r="A84" s="132" t="s">
        <v>2774</v>
      </c>
    </row>
    <row r="85" spans="1:12" ht="116.5" customHeight="1" thickBot="1" x14ac:dyDescent="0.25">
      <c r="A85" s="133" t="s">
        <v>3112</v>
      </c>
      <c r="B85" s="134" t="s">
        <v>3100</v>
      </c>
    </row>
    <row r="86" spans="1:12" ht="13" customHeight="1" x14ac:dyDescent="0.3">
      <c r="A86" s="132"/>
    </row>
    <row r="87" spans="1:12" ht="26" x14ac:dyDescent="0.3">
      <c r="A87" s="22" t="s">
        <v>2</v>
      </c>
    </row>
    <row r="89" spans="1:12" x14ac:dyDescent="0.2">
      <c r="A89" s="23" t="s">
        <v>1</v>
      </c>
      <c r="B89" s="23"/>
      <c r="C89" s="23"/>
      <c r="D89" s="23"/>
      <c r="E89" s="7"/>
      <c r="F89" s="7"/>
      <c r="G89" s="7"/>
      <c r="H89" s="7"/>
      <c r="I89" s="7"/>
      <c r="J89" s="7"/>
      <c r="K89" s="7"/>
      <c r="L89" s="7"/>
    </row>
    <row r="90" spans="1:12" ht="23.25" customHeight="1" x14ac:dyDescent="0.2">
      <c r="A90" s="26" t="s">
        <v>2</v>
      </c>
      <c r="B90" s="27" t="s">
        <v>3</v>
      </c>
      <c r="C90" s="27" t="s">
        <v>4</v>
      </c>
      <c r="D90" s="27" t="s">
        <v>7</v>
      </c>
      <c r="E90" s="27" t="s">
        <v>112</v>
      </c>
    </row>
    <row r="91" spans="1:12" x14ac:dyDescent="0.2">
      <c r="A91" s="5" t="s">
        <v>13</v>
      </c>
      <c r="B91" s="105">
        <v>1000</v>
      </c>
      <c r="C91" t="s">
        <v>10</v>
      </c>
      <c r="D91" t="s">
        <v>8</v>
      </c>
      <c r="E91" t="s">
        <v>1005</v>
      </c>
    </row>
    <row r="92" spans="1:12" x14ac:dyDescent="0.2">
      <c r="A92" s="5" t="s">
        <v>2597</v>
      </c>
      <c r="B92" s="105">
        <v>1</v>
      </c>
      <c r="C92" t="s">
        <v>9</v>
      </c>
      <c r="D92" t="s">
        <v>11</v>
      </c>
      <c r="E92" t="s">
        <v>1005</v>
      </c>
    </row>
    <row r="93" spans="1:12" x14ac:dyDescent="0.2">
      <c r="A93" s="5" t="s">
        <v>2598</v>
      </c>
      <c r="B93" s="105">
        <v>0.3</v>
      </c>
      <c r="C93" t="s">
        <v>9</v>
      </c>
      <c r="D93" t="s">
        <v>23</v>
      </c>
      <c r="E93">
        <f>A17</f>
        <v>1</v>
      </c>
    </row>
    <row r="94" spans="1:12" x14ac:dyDescent="0.2">
      <c r="A94" s="5" t="s">
        <v>2599</v>
      </c>
      <c r="B94" s="105">
        <v>0.2</v>
      </c>
      <c r="C94" t="s">
        <v>9</v>
      </c>
      <c r="D94" t="s">
        <v>24</v>
      </c>
      <c r="E94">
        <f>E93</f>
        <v>1</v>
      </c>
    </row>
    <row r="95" spans="1:12" x14ac:dyDescent="0.2">
      <c r="A95" s="5" t="s">
        <v>2600</v>
      </c>
      <c r="B95" s="105">
        <v>0.4</v>
      </c>
      <c r="C95" t="s">
        <v>9</v>
      </c>
      <c r="D95" t="s">
        <v>25</v>
      </c>
      <c r="E95">
        <f>E94</f>
        <v>1</v>
      </c>
    </row>
    <row r="96" spans="1:12" x14ac:dyDescent="0.2">
      <c r="A96" s="5" t="s">
        <v>2601</v>
      </c>
      <c r="B96" s="105">
        <f>B92-B93-B94-B95</f>
        <v>9.9999999999999922E-2</v>
      </c>
      <c r="C96" t="s">
        <v>9</v>
      </c>
      <c r="D96" t="s">
        <v>134</v>
      </c>
      <c r="E96">
        <v>1</v>
      </c>
    </row>
    <row r="97" spans="1:5" x14ac:dyDescent="0.2">
      <c r="A97" s="5" t="s">
        <v>2602</v>
      </c>
      <c r="B97" s="109">
        <v>0.23</v>
      </c>
      <c r="C97" t="s">
        <v>9</v>
      </c>
      <c r="D97" t="s">
        <v>26</v>
      </c>
      <c r="E97">
        <f>E95</f>
        <v>1</v>
      </c>
    </row>
    <row r="98" spans="1:5" x14ac:dyDescent="0.2">
      <c r="A98" s="5" t="s">
        <v>2603</v>
      </c>
      <c r="B98" s="109">
        <v>7.0000000000000007E-2</v>
      </c>
      <c r="C98" t="s">
        <v>9</v>
      </c>
      <c r="D98" t="s">
        <v>27</v>
      </c>
      <c r="E98">
        <f t="shared" ref="E98:E99" si="0">E97</f>
        <v>1</v>
      </c>
    </row>
    <row r="99" spans="1:5" x14ac:dyDescent="0.2">
      <c r="A99" s="5" t="s">
        <v>2604</v>
      </c>
      <c r="B99" s="109">
        <v>0</v>
      </c>
      <c r="C99" t="s">
        <v>9</v>
      </c>
      <c r="D99" t="s">
        <v>28</v>
      </c>
      <c r="E99">
        <f t="shared" si="0"/>
        <v>1</v>
      </c>
    </row>
    <row r="100" spans="1:5" x14ac:dyDescent="0.2">
      <c r="A100" s="5" t="s">
        <v>2605</v>
      </c>
      <c r="B100" s="109">
        <v>0</v>
      </c>
      <c r="C100" t="s">
        <v>9</v>
      </c>
      <c r="D100" t="s">
        <v>29</v>
      </c>
      <c r="E100">
        <f>E99</f>
        <v>1</v>
      </c>
    </row>
    <row r="101" spans="1:5" x14ac:dyDescent="0.2">
      <c r="A101" t="s">
        <v>2606</v>
      </c>
      <c r="B101" s="109">
        <f>B93-SUM(B97:B100)</f>
        <v>0</v>
      </c>
      <c r="C101" t="s">
        <v>9</v>
      </c>
      <c r="D101" t="s">
        <v>203</v>
      </c>
      <c r="E101">
        <v>1</v>
      </c>
    </row>
    <row r="102" spans="1:5" x14ac:dyDescent="0.2">
      <c r="A102" s="5" t="s">
        <v>2607</v>
      </c>
      <c r="B102" s="109">
        <v>0.04</v>
      </c>
      <c r="C102" t="s">
        <v>9</v>
      </c>
      <c r="D102" t="s">
        <v>30</v>
      </c>
      <c r="E102">
        <f>E100</f>
        <v>1</v>
      </c>
    </row>
    <row r="103" spans="1:5" x14ac:dyDescent="0.2">
      <c r="A103" s="5" t="s">
        <v>2608</v>
      </c>
      <c r="B103" s="109">
        <v>0.03</v>
      </c>
      <c r="C103" t="s">
        <v>9</v>
      </c>
      <c r="D103" t="s">
        <v>31</v>
      </c>
      <c r="E103">
        <f>E102</f>
        <v>1</v>
      </c>
    </row>
    <row r="104" spans="1:5" x14ac:dyDescent="0.2">
      <c r="A104" s="5" t="s">
        <v>2609</v>
      </c>
      <c r="B104" s="109">
        <v>7.0000000000000007E-2</v>
      </c>
      <c r="C104" t="s">
        <v>9</v>
      </c>
      <c r="D104" t="s">
        <v>32</v>
      </c>
      <c r="E104">
        <f>E103</f>
        <v>1</v>
      </c>
    </row>
    <row r="105" spans="1:5" x14ac:dyDescent="0.2">
      <c r="A105" s="5" t="s">
        <v>2610</v>
      </c>
      <c r="B105" s="109">
        <v>0.01</v>
      </c>
      <c r="C105" t="s">
        <v>9</v>
      </c>
      <c r="D105" t="s">
        <v>33</v>
      </c>
      <c r="E105">
        <f>E104</f>
        <v>1</v>
      </c>
    </row>
    <row r="106" spans="1:5" x14ac:dyDescent="0.2">
      <c r="A106" t="s">
        <v>2611</v>
      </c>
      <c r="B106" s="109">
        <f>B94-SUM(B102:B105)</f>
        <v>4.9999999999999989E-2</v>
      </c>
      <c r="C106" t="s">
        <v>9</v>
      </c>
      <c r="D106" t="s">
        <v>204</v>
      </c>
      <c r="E106">
        <v>1</v>
      </c>
    </row>
    <row r="107" spans="1:5" x14ac:dyDescent="0.2">
      <c r="A107" s="5" t="s">
        <v>2612</v>
      </c>
      <c r="B107" s="109">
        <v>0</v>
      </c>
      <c r="C107" t="s">
        <v>9</v>
      </c>
      <c r="D107" t="s">
        <v>34</v>
      </c>
      <c r="E107">
        <f>E105</f>
        <v>1</v>
      </c>
    </row>
    <row r="108" spans="1:5" x14ac:dyDescent="0.2">
      <c r="A108" s="5" t="s">
        <v>2613</v>
      </c>
      <c r="B108" s="109">
        <v>0.3</v>
      </c>
      <c r="C108" t="s">
        <v>9</v>
      </c>
      <c r="D108" t="s">
        <v>35</v>
      </c>
      <c r="E108">
        <f>E107</f>
        <v>1</v>
      </c>
    </row>
    <row r="109" spans="1:5" x14ac:dyDescent="0.2">
      <c r="A109" s="5" t="s">
        <v>2614</v>
      </c>
      <c r="B109" s="109">
        <v>0</v>
      </c>
      <c r="C109" t="s">
        <v>9</v>
      </c>
      <c r="D109" t="s">
        <v>36</v>
      </c>
      <c r="E109">
        <f>E108</f>
        <v>1</v>
      </c>
    </row>
    <row r="110" spans="1:5" x14ac:dyDescent="0.2">
      <c r="A110" s="5" t="s">
        <v>2615</v>
      </c>
      <c r="B110" s="109">
        <v>0</v>
      </c>
      <c r="C110" t="s">
        <v>9</v>
      </c>
      <c r="D110" t="s">
        <v>37</v>
      </c>
      <c r="E110">
        <f>E109</f>
        <v>1</v>
      </c>
    </row>
    <row r="111" spans="1:5" x14ac:dyDescent="0.2">
      <c r="A111" t="s">
        <v>2616</v>
      </c>
      <c r="B111" s="109">
        <f>B95-SUM(B107:B110)</f>
        <v>0.10000000000000003</v>
      </c>
      <c r="C111" t="s">
        <v>9</v>
      </c>
      <c r="D111" t="s">
        <v>205</v>
      </c>
      <c r="E111">
        <v>1</v>
      </c>
    </row>
    <row r="112" spans="1:5" x14ac:dyDescent="0.2">
      <c r="A112" s="5" t="s">
        <v>2617</v>
      </c>
      <c r="B112" s="109">
        <v>0</v>
      </c>
      <c r="C112" t="s">
        <v>9</v>
      </c>
      <c r="D112" t="s">
        <v>38</v>
      </c>
      <c r="E112">
        <f>E110</f>
        <v>1</v>
      </c>
    </row>
    <row r="113" spans="1:10" x14ac:dyDescent="0.2">
      <c r="A113" s="5" t="s">
        <v>2618</v>
      </c>
      <c r="B113" s="109">
        <v>0</v>
      </c>
      <c r="C113" t="s">
        <v>9</v>
      </c>
      <c r="D113" t="s">
        <v>39</v>
      </c>
      <c r="E113">
        <f>E112</f>
        <v>1</v>
      </c>
    </row>
    <row r="114" spans="1:10" x14ac:dyDescent="0.2">
      <c r="A114" s="5" t="s">
        <v>2619</v>
      </c>
      <c r="B114" s="109">
        <v>0</v>
      </c>
      <c r="C114" t="s">
        <v>9</v>
      </c>
      <c r="D114" t="s">
        <v>40</v>
      </c>
      <c r="E114">
        <f>E113</f>
        <v>1</v>
      </c>
    </row>
    <row r="115" spans="1:10" x14ac:dyDescent="0.2">
      <c r="A115" s="5" t="s">
        <v>2620</v>
      </c>
      <c r="B115" s="109">
        <v>0</v>
      </c>
      <c r="C115" t="s">
        <v>9</v>
      </c>
      <c r="D115" t="s">
        <v>41</v>
      </c>
      <c r="E115">
        <f>E114</f>
        <v>1</v>
      </c>
    </row>
    <row r="116" spans="1:10" x14ac:dyDescent="0.2">
      <c r="A116" s="36" t="s">
        <v>2621</v>
      </c>
      <c r="B116" s="110">
        <f>B96-SUM(B112:B115)</f>
        <v>9.9999999999999922E-2</v>
      </c>
      <c r="C116" s="44" t="s">
        <v>9</v>
      </c>
      <c r="D116" s="44" t="s">
        <v>206</v>
      </c>
      <c r="E116" s="44">
        <v>1</v>
      </c>
      <c r="H116"/>
    </row>
    <row r="117" spans="1:10" x14ac:dyDescent="0.2">
      <c r="B117" s="111"/>
    </row>
    <row r="118" spans="1:10" x14ac:dyDescent="0.2">
      <c r="A118" s="23" t="s">
        <v>133</v>
      </c>
      <c r="B118" s="112"/>
      <c r="C118" s="112"/>
      <c r="D118" s="112"/>
      <c r="E118" s="112"/>
      <c r="F118" s="112"/>
      <c r="G118" s="112"/>
      <c r="H118" s="112"/>
      <c r="I118" s="112"/>
    </row>
    <row r="119" spans="1:10" ht="24.75" customHeight="1" x14ac:dyDescent="0.2">
      <c r="A119" s="28" t="s">
        <v>100</v>
      </c>
      <c r="B119" s="29" t="s">
        <v>101</v>
      </c>
      <c r="C119" s="29" t="s">
        <v>102</v>
      </c>
      <c r="D119" s="29" t="s">
        <v>103</v>
      </c>
      <c r="E119" s="29" t="s">
        <v>104</v>
      </c>
      <c r="F119" s="29" t="s">
        <v>105</v>
      </c>
      <c r="G119" s="29" t="s">
        <v>3099</v>
      </c>
      <c r="H119" s="29" t="s">
        <v>106</v>
      </c>
      <c r="I119" s="29" t="s">
        <v>107</v>
      </c>
      <c r="J119" s="29" t="s">
        <v>112</v>
      </c>
    </row>
    <row r="120" spans="1:10" x14ac:dyDescent="0.2">
      <c r="A120" t="s">
        <v>108</v>
      </c>
      <c r="B120" s="105">
        <v>1</v>
      </c>
      <c r="C120" s="105">
        <v>0.89500000000000002</v>
      </c>
      <c r="D120" s="105">
        <v>0.105</v>
      </c>
      <c r="E120" s="109">
        <v>0.84040499999999996</v>
      </c>
      <c r="F120" s="105">
        <v>5.4594999999999998E-2</v>
      </c>
      <c r="G120" s="105">
        <v>32.703299999999999</v>
      </c>
      <c r="H120" s="105">
        <v>3.4546999999999998E-3</v>
      </c>
      <c r="I120" s="105">
        <v>0.68735999999999997</v>
      </c>
      <c r="J120">
        <f>$A$19</f>
        <v>3</v>
      </c>
    </row>
    <row r="121" spans="1:10" x14ac:dyDescent="0.2">
      <c r="A121" t="s">
        <v>111</v>
      </c>
      <c r="B121" s="105">
        <v>1</v>
      </c>
      <c r="C121" s="105">
        <v>0.96799999999999997</v>
      </c>
      <c r="D121" s="105">
        <v>3.2000000000000001E-2</v>
      </c>
      <c r="E121" s="109">
        <v>0.94670399999999999</v>
      </c>
      <c r="F121" s="105">
        <v>2.1295999999999999E-2</v>
      </c>
      <c r="G121" s="105">
        <v>36.212879999999998</v>
      </c>
      <c r="H121" s="105">
        <v>3.872E-3</v>
      </c>
      <c r="I121" s="105">
        <v>0.76956000000000002</v>
      </c>
      <c r="J121">
        <f t="shared" ref="J121:J123" si="1">$A$19</f>
        <v>3</v>
      </c>
    </row>
    <row r="122" spans="1:10" x14ac:dyDescent="0.2">
      <c r="A122" t="s">
        <v>109</v>
      </c>
      <c r="B122" s="105">
        <v>1</v>
      </c>
      <c r="C122" s="105">
        <v>0.8589</v>
      </c>
      <c r="D122" s="105">
        <v>0.1411</v>
      </c>
      <c r="E122" s="109">
        <v>0.82110839999999996</v>
      </c>
      <c r="F122" s="105">
        <v>3.7791600000000002E-2</v>
      </c>
      <c r="G122" s="105">
        <v>34.407533999999998</v>
      </c>
      <c r="H122" s="105">
        <v>3.52148999999999E-3</v>
      </c>
      <c r="I122" s="105">
        <v>0.7008624</v>
      </c>
      <c r="J122">
        <f t="shared" si="1"/>
        <v>3</v>
      </c>
    </row>
    <row r="123" spans="1:10" x14ac:dyDescent="0.2">
      <c r="A123" s="44" t="s">
        <v>110</v>
      </c>
      <c r="B123" s="113">
        <v>1</v>
      </c>
      <c r="C123" s="113">
        <v>0.92900000000000005</v>
      </c>
      <c r="D123" s="113">
        <v>7.0999999999999897E-2</v>
      </c>
      <c r="E123" s="110">
        <v>0.87790500000000005</v>
      </c>
      <c r="F123" s="113">
        <v>5.1095000000000002E-2</v>
      </c>
      <c r="G123" s="113">
        <v>29.690840000000001</v>
      </c>
      <c r="H123" s="113">
        <v>3.29795E-3</v>
      </c>
      <c r="I123" s="113">
        <v>0.65587399999999996</v>
      </c>
      <c r="J123" s="44">
        <f t="shared" si="1"/>
        <v>3</v>
      </c>
    </row>
    <row r="124" spans="1:10" x14ac:dyDescent="0.2">
      <c r="A124"/>
    </row>
    <row r="125" spans="1:10" x14ac:dyDescent="0.2">
      <c r="A125" s="7" t="s">
        <v>2577</v>
      </c>
    </row>
    <row r="126" spans="1:10" ht="26.5" customHeight="1" x14ac:dyDescent="0.2">
      <c r="A126" s="35" t="s">
        <v>49</v>
      </c>
      <c r="B126" s="35" t="s">
        <v>3</v>
      </c>
      <c r="C126" s="35" t="s">
        <v>4</v>
      </c>
      <c r="D126" s="35" t="s">
        <v>2576</v>
      </c>
      <c r="E126" s="35" t="s">
        <v>6</v>
      </c>
      <c r="F126" s="35" t="s">
        <v>7</v>
      </c>
      <c r="G126" s="35" t="s">
        <v>112</v>
      </c>
    </row>
    <row r="127" spans="1:10" x14ac:dyDescent="0.2">
      <c r="A127" s="5" t="s">
        <v>2588</v>
      </c>
      <c r="B127" s="115">
        <f>IF($B$85="best case",E127,IF($B$85="worst case",D127,"select best or worst case"))</f>
        <v>0.9</v>
      </c>
      <c r="C127" t="s">
        <v>9</v>
      </c>
      <c r="D127" s="105">
        <v>0.57999999999999996</v>
      </c>
      <c r="E127" s="105">
        <v>0.9</v>
      </c>
      <c r="F127" t="s">
        <v>2657</v>
      </c>
      <c r="G127">
        <f>A18</f>
        <v>2</v>
      </c>
    </row>
    <row r="128" spans="1:10" x14ac:dyDescent="0.2">
      <c r="A128" s="5" t="s">
        <v>2589</v>
      </c>
      <c r="B128" s="115">
        <f t="shared" ref="B128:B135" si="2">IF($B$85="best case",E128,IF($B$85="worst case",D128,"select best or worst case"))</f>
        <v>0.9</v>
      </c>
      <c r="C128" t="s">
        <v>9</v>
      </c>
      <c r="D128" s="105">
        <v>0.45</v>
      </c>
      <c r="E128" s="105">
        <v>0.9</v>
      </c>
      <c r="F128" t="s">
        <v>2649</v>
      </c>
      <c r="G128">
        <f>A18</f>
        <v>2</v>
      </c>
    </row>
    <row r="129" spans="1:7" x14ac:dyDescent="0.2">
      <c r="A129" s="5" t="s">
        <v>2590</v>
      </c>
      <c r="B129" s="115">
        <f t="shared" si="2"/>
        <v>0.9</v>
      </c>
      <c r="C129" t="s">
        <v>9</v>
      </c>
      <c r="D129" s="105">
        <v>0.45</v>
      </c>
      <c r="E129" s="105">
        <v>0.9</v>
      </c>
      <c r="F129" t="s">
        <v>2650</v>
      </c>
      <c r="G129">
        <f>A18</f>
        <v>2</v>
      </c>
    </row>
    <row r="130" spans="1:7" x14ac:dyDescent="0.2">
      <c r="A130" s="5" t="s">
        <v>2591</v>
      </c>
      <c r="B130" s="115">
        <f t="shared" si="2"/>
        <v>0.9</v>
      </c>
      <c r="C130" t="s">
        <v>9</v>
      </c>
      <c r="D130" s="105">
        <v>0.55000000000000004</v>
      </c>
      <c r="E130" s="105">
        <v>0.9</v>
      </c>
      <c r="F130" t="s">
        <v>2651</v>
      </c>
      <c r="G130">
        <f>A18</f>
        <v>2</v>
      </c>
    </row>
    <row r="131" spans="1:7" x14ac:dyDescent="0.2">
      <c r="A131" s="5" t="s">
        <v>2592</v>
      </c>
      <c r="B131" s="115">
        <f t="shared" si="2"/>
        <v>0.9</v>
      </c>
      <c r="C131" t="s">
        <v>9</v>
      </c>
      <c r="D131" s="105">
        <v>0.21</v>
      </c>
      <c r="E131" s="105">
        <v>0.9</v>
      </c>
      <c r="F131" t="s">
        <v>2652</v>
      </c>
      <c r="G131">
        <f>A18</f>
        <v>2</v>
      </c>
    </row>
    <row r="132" spans="1:7" x14ac:dyDescent="0.2">
      <c r="A132" s="5" t="s">
        <v>2593</v>
      </c>
      <c r="B132" s="115">
        <f t="shared" si="2"/>
        <v>0.9</v>
      </c>
      <c r="C132" t="s">
        <v>9</v>
      </c>
      <c r="D132" s="105">
        <v>0.3</v>
      </c>
      <c r="E132" s="105">
        <v>0.9</v>
      </c>
      <c r="F132" t="s">
        <v>2653</v>
      </c>
      <c r="G132" s="25" t="str">
        <f>A17&amp;", "&amp;A18</f>
        <v>1, 2</v>
      </c>
    </row>
    <row r="133" spans="1:7" x14ac:dyDescent="0.2">
      <c r="A133" s="5" t="s">
        <v>2594</v>
      </c>
      <c r="B133" s="115">
        <f t="shared" si="2"/>
        <v>0.9</v>
      </c>
      <c r="C133" t="s">
        <v>9</v>
      </c>
      <c r="D133" s="105">
        <v>0.7</v>
      </c>
      <c r="E133" s="105">
        <v>0.9</v>
      </c>
      <c r="F133" t="s">
        <v>2654</v>
      </c>
      <c r="G133">
        <f>A18</f>
        <v>2</v>
      </c>
    </row>
    <row r="134" spans="1:7" x14ac:dyDescent="0.2">
      <c r="A134" s="5" t="s">
        <v>2595</v>
      </c>
      <c r="B134" s="115">
        <f t="shared" si="2"/>
        <v>0.9</v>
      </c>
      <c r="C134" t="s">
        <v>9</v>
      </c>
      <c r="D134" s="105">
        <v>0.56000000000000005</v>
      </c>
      <c r="E134" s="105">
        <v>0.9</v>
      </c>
      <c r="F134" t="s">
        <v>2655</v>
      </c>
      <c r="G134">
        <f>A18</f>
        <v>2</v>
      </c>
    </row>
    <row r="135" spans="1:7" x14ac:dyDescent="0.2">
      <c r="A135" s="36" t="s">
        <v>2596</v>
      </c>
      <c r="B135" s="137">
        <f t="shared" si="2"/>
        <v>0.9</v>
      </c>
      <c r="C135" s="44" t="s">
        <v>9</v>
      </c>
      <c r="D135" s="113">
        <v>0.7</v>
      </c>
      <c r="E135" s="113">
        <v>0.9</v>
      </c>
      <c r="F135" s="44" t="s">
        <v>2656</v>
      </c>
      <c r="G135" s="44">
        <f>A18</f>
        <v>2</v>
      </c>
    </row>
    <row r="137" spans="1:7" x14ac:dyDescent="0.2">
      <c r="A137" s="7" t="s">
        <v>2578</v>
      </c>
    </row>
    <row r="138" spans="1:7" ht="26.5" customHeight="1" x14ac:dyDescent="0.2">
      <c r="A138" s="35" t="s">
        <v>49</v>
      </c>
      <c r="B138" s="35" t="s">
        <v>3</v>
      </c>
      <c r="C138" s="35" t="s">
        <v>4</v>
      </c>
      <c r="D138" s="35" t="s">
        <v>2576</v>
      </c>
      <c r="E138" s="35" t="s">
        <v>6</v>
      </c>
      <c r="F138" s="35" t="s">
        <v>7</v>
      </c>
      <c r="G138" s="35" t="s">
        <v>112</v>
      </c>
    </row>
    <row r="139" spans="1:7" x14ac:dyDescent="0.2">
      <c r="A139" s="5" t="s">
        <v>2579</v>
      </c>
      <c r="B139" s="115">
        <f>IF($B$85="best case",E139,IF($B$85="worst case",D139,"select best or worst case"))</f>
        <v>0.71</v>
      </c>
      <c r="C139" t="s">
        <v>9</v>
      </c>
      <c r="D139" s="105">
        <v>0.71</v>
      </c>
      <c r="E139" s="105">
        <v>0.71</v>
      </c>
      <c r="F139" t="s">
        <v>61</v>
      </c>
      <c r="G139">
        <f>$A$18</f>
        <v>2</v>
      </c>
    </row>
    <row r="140" spans="1:7" x14ac:dyDescent="0.2">
      <c r="A140" s="5" t="s">
        <v>2580</v>
      </c>
      <c r="B140" s="115">
        <f t="shared" ref="B140:B146" si="3">IF($B$85="best case",E140,IF($B$85="worst case",D140,"select best or worst case"))</f>
        <v>0.62</v>
      </c>
      <c r="C140" t="s">
        <v>9</v>
      </c>
      <c r="D140" s="105">
        <v>0.62</v>
      </c>
      <c r="E140" s="105">
        <v>0.62</v>
      </c>
      <c r="F140" t="s">
        <v>62</v>
      </c>
      <c r="G140">
        <f t="shared" ref="G140:G165" si="4">$A$18</f>
        <v>2</v>
      </c>
    </row>
    <row r="141" spans="1:7" x14ac:dyDescent="0.2">
      <c r="A141" s="5" t="s">
        <v>2581</v>
      </c>
      <c r="B141" s="115">
        <f t="shared" si="3"/>
        <v>1</v>
      </c>
      <c r="C141" t="s">
        <v>9</v>
      </c>
      <c r="D141" s="105">
        <v>1</v>
      </c>
      <c r="E141" s="105">
        <v>1</v>
      </c>
      <c r="F141" t="s">
        <v>63</v>
      </c>
      <c r="G141">
        <f t="shared" si="4"/>
        <v>2</v>
      </c>
    </row>
    <row r="142" spans="1:7" x14ac:dyDescent="0.2">
      <c r="A142" s="5" t="s">
        <v>2582</v>
      </c>
      <c r="B142" s="115">
        <f t="shared" si="3"/>
        <v>0.71</v>
      </c>
      <c r="C142" t="s">
        <v>9</v>
      </c>
      <c r="D142" s="105">
        <v>0.71</v>
      </c>
      <c r="E142" s="105">
        <v>0.71</v>
      </c>
      <c r="F142" t="s">
        <v>64</v>
      </c>
      <c r="G142">
        <f t="shared" si="4"/>
        <v>2</v>
      </c>
    </row>
    <row r="143" spans="1:7" x14ac:dyDescent="0.2">
      <c r="A143" s="5" t="s">
        <v>2583</v>
      </c>
      <c r="B143" s="115">
        <f t="shared" si="3"/>
        <v>0.62</v>
      </c>
      <c r="C143" t="s">
        <v>9</v>
      </c>
      <c r="D143" s="105">
        <v>0.62</v>
      </c>
      <c r="E143" s="105">
        <v>0.62</v>
      </c>
      <c r="F143" t="s">
        <v>65</v>
      </c>
      <c r="G143">
        <f t="shared" si="4"/>
        <v>2</v>
      </c>
    </row>
    <row r="144" spans="1:7" x14ac:dyDescent="0.2">
      <c r="A144" s="5" t="s">
        <v>2584</v>
      </c>
      <c r="B144" s="115">
        <f t="shared" si="3"/>
        <v>0.84</v>
      </c>
      <c r="C144" t="s">
        <v>9</v>
      </c>
      <c r="D144" s="105">
        <v>0.84</v>
      </c>
      <c r="E144" s="105">
        <v>0.84</v>
      </c>
      <c r="F144" t="s">
        <v>66</v>
      </c>
      <c r="G144">
        <f t="shared" si="4"/>
        <v>2</v>
      </c>
    </row>
    <row r="145" spans="1:7" x14ac:dyDescent="0.2">
      <c r="A145" s="5" t="s">
        <v>2585</v>
      </c>
      <c r="B145" s="115">
        <f t="shared" si="3"/>
        <v>0.71</v>
      </c>
      <c r="C145" t="s">
        <v>9</v>
      </c>
      <c r="D145" s="105">
        <v>0.71</v>
      </c>
      <c r="E145" s="105">
        <v>0.71</v>
      </c>
      <c r="F145" t="s">
        <v>67</v>
      </c>
      <c r="G145">
        <f t="shared" si="4"/>
        <v>2</v>
      </c>
    </row>
    <row r="146" spans="1:7" x14ac:dyDescent="0.2">
      <c r="A146" s="5" t="s">
        <v>2586</v>
      </c>
      <c r="B146" s="115">
        <f t="shared" si="3"/>
        <v>0.62</v>
      </c>
      <c r="C146" t="s">
        <v>9</v>
      </c>
      <c r="D146" s="105">
        <v>0.62</v>
      </c>
      <c r="E146" s="105">
        <v>0.62</v>
      </c>
      <c r="F146" t="s">
        <v>68</v>
      </c>
      <c r="G146">
        <f t="shared" si="4"/>
        <v>2</v>
      </c>
    </row>
    <row r="147" spans="1:7" x14ac:dyDescent="0.2">
      <c r="A147" t="s">
        <v>2587</v>
      </c>
      <c r="B147" s="115">
        <f t="shared" ref="B147:B165" si="5">IF($B$85="best case",E147,IF($B$85="worst case",D147,"select best or worst case"))</f>
        <v>0.84</v>
      </c>
      <c r="C147" t="s">
        <v>9</v>
      </c>
      <c r="D147" s="105">
        <v>0.84</v>
      </c>
      <c r="E147" s="105">
        <v>0.84</v>
      </c>
      <c r="F147" t="s">
        <v>69</v>
      </c>
      <c r="G147">
        <f t="shared" si="4"/>
        <v>2</v>
      </c>
    </row>
    <row r="148" spans="1:7" x14ac:dyDescent="0.2">
      <c r="A148" s="5" t="s">
        <v>2631</v>
      </c>
      <c r="B148" s="115">
        <f t="shared" si="5"/>
        <v>0.83</v>
      </c>
      <c r="C148" t="s">
        <v>9</v>
      </c>
      <c r="D148" s="105">
        <v>0.83</v>
      </c>
      <c r="E148" s="105">
        <v>0.83</v>
      </c>
      <c r="F148" t="s">
        <v>71</v>
      </c>
      <c r="G148">
        <f t="shared" si="4"/>
        <v>2</v>
      </c>
    </row>
    <row r="149" spans="1:7" x14ac:dyDescent="0.2">
      <c r="A149" s="5" t="s">
        <v>2632</v>
      </c>
      <c r="B149" s="115">
        <f t="shared" si="5"/>
        <v>0.88</v>
      </c>
      <c r="C149" t="str">
        <f>C148</f>
        <v>%ww</v>
      </c>
      <c r="D149" s="105">
        <v>0.76</v>
      </c>
      <c r="E149" s="105">
        <v>0.88</v>
      </c>
      <c r="F149" t="s">
        <v>72</v>
      </c>
      <c r="G149">
        <f t="shared" si="4"/>
        <v>2</v>
      </c>
    </row>
    <row r="150" spans="1:7" x14ac:dyDescent="0.2">
      <c r="A150" s="5" t="s">
        <v>2633</v>
      </c>
      <c r="B150" s="115">
        <f t="shared" si="5"/>
        <v>0.7</v>
      </c>
      <c r="C150" t="str">
        <f t="shared" ref="C150:C156" si="6">C149</f>
        <v>%ww</v>
      </c>
      <c r="D150" s="105">
        <v>0.44</v>
      </c>
      <c r="E150" s="105">
        <v>0.7</v>
      </c>
      <c r="F150" t="s">
        <v>73</v>
      </c>
      <c r="G150">
        <f t="shared" si="4"/>
        <v>2</v>
      </c>
    </row>
    <row r="151" spans="1:7" x14ac:dyDescent="0.2">
      <c r="A151" s="5" t="s">
        <v>2634</v>
      </c>
      <c r="B151" s="115">
        <f t="shared" si="5"/>
        <v>0.83</v>
      </c>
      <c r="C151" t="str">
        <f t="shared" si="6"/>
        <v>%ww</v>
      </c>
      <c r="D151" s="105">
        <v>0.24</v>
      </c>
      <c r="E151" s="105">
        <v>0.83</v>
      </c>
      <c r="F151" t="s">
        <v>74</v>
      </c>
      <c r="G151">
        <f t="shared" si="4"/>
        <v>2</v>
      </c>
    </row>
    <row r="152" spans="1:7" x14ac:dyDescent="0.2">
      <c r="A152" s="5" t="s">
        <v>2635</v>
      </c>
      <c r="B152" s="115">
        <f t="shared" si="5"/>
        <v>0.88</v>
      </c>
      <c r="C152" t="str">
        <f t="shared" si="6"/>
        <v>%ww</v>
      </c>
      <c r="D152" s="105">
        <v>0.01</v>
      </c>
      <c r="E152" s="105">
        <v>0.88</v>
      </c>
      <c r="F152" t="s">
        <v>75</v>
      </c>
      <c r="G152">
        <f t="shared" si="4"/>
        <v>2</v>
      </c>
    </row>
    <row r="153" spans="1:7" x14ac:dyDescent="0.2">
      <c r="A153" s="5" t="s">
        <v>2636</v>
      </c>
      <c r="B153" s="115">
        <f t="shared" si="5"/>
        <v>0.7</v>
      </c>
      <c r="C153" t="str">
        <f t="shared" si="6"/>
        <v>%ww</v>
      </c>
      <c r="D153" s="105">
        <v>0.56000000000000005</v>
      </c>
      <c r="E153" s="105">
        <v>0.7</v>
      </c>
      <c r="F153" t="s">
        <v>76</v>
      </c>
      <c r="G153" s="25" t="str">
        <f>A24&amp;", "&amp;A18</f>
        <v>8, 2</v>
      </c>
    </row>
    <row r="154" spans="1:7" x14ac:dyDescent="0.2">
      <c r="A154" s="5" t="s">
        <v>2637</v>
      </c>
      <c r="B154" s="115">
        <f t="shared" si="5"/>
        <v>0.83</v>
      </c>
      <c r="C154" t="str">
        <f t="shared" si="6"/>
        <v>%ww</v>
      </c>
      <c r="D154" s="105">
        <v>0.57999999999999996</v>
      </c>
      <c r="E154" s="105">
        <v>0.83</v>
      </c>
      <c r="F154" t="s">
        <v>77</v>
      </c>
      <c r="G154">
        <f t="shared" si="4"/>
        <v>2</v>
      </c>
    </row>
    <row r="155" spans="1:7" x14ac:dyDescent="0.2">
      <c r="A155" s="5" t="s">
        <v>2638</v>
      </c>
      <c r="B155" s="115">
        <f t="shared" si="5"/>
        <v>0.88</v>
      </c>
      <c r="C155" t="str">
        <f t="shared" si="6"/>
        <v>%ww</v>
      </c>
      <c r="D155" s="105">
        <v>0.57999999999999996</v>
      </c>
      <c r="E155" s="105">
        <v>0.88</v>
      </c>
      <c r="F155" t="s">
        <v>78</v>
      </c>
      <c r="G155">
        <f t="shared" si="4"/>
        <v>2</v>
      </c>
    </row>
    <row r="156" spans="1:7" x14ac:dyDescent="0.2">
      <c r="A156" t="s">
        <v>2639</v>
      </c>
      <c r="B156" s="115">
        <f t="shared" si="5"/>
        <v>0.7</v>
      </c>
      <c r="C156" t="str">
        <f t="shared" si="6"/>
        <v>%ww</v>
      </c>
      <c r="D156" s="105">
        <v>0.57999999999999996</v>
      </c>
      <c r="E156" s="105">
        <v>0.7</v>
      </c>
      <c r="F156" t="s">
        <v>79</v>
      </c>
      <c r="G156">
        <f t="shared" si="4"/>
        <v>2</v>
      </c>
    </row>
    <row r="157" spans="1:7" x14ac:dyDescent="0.2">
      <c r="A157" t="s">
        <v>2640</v>
      </c>
      <c r="B157" s="115">
        <f t="shared" si="5"/>
        <v>0.83</v>
      </c>
      <c r="C157" t="s">
        <v>9</v>
      </c>
      <c r="D157" s="105">
        <v>0.83</v>
      </c>
      <c r="E157" s="105">
        <v>0.83</v>
      </c>
      <c r="F157" t="s">
        <v>89</v>
      </c>
      <c r="G157">
        <f t="shared" si="4"/>
        <v>2</v>
      </c>
    </row>
    <row r="158" spans="1:7" x14ac:dyDescent="0.2">
      <c r="A158" t="s">
        <v>2641</v>
      </c>
      <c r="B158" s="115">
        <f t="shared" si="5"/>
        <v>0.93</v>
      </c>
      <c r="C158" t="str">
        <f>C157</f>
        <v>%ww</v>
      </c>
      <c r="D158" s="105">
        <v>0.93</v>
      </c>
      <c r="E158" s="105">
        <v>0.93</v>
      </c>
      <c r="F158" t="s">
        <v>90</v>
      </c>
      <c r="G158">
        <f t="shared" si="4"/>
        <v>2</v>
      </c>
    </row>
    <row r="159" spans="1:7" x14ac:dyDescent="0.2">
      <c r="A159" t="s">
        <v>2642</v>
      </c>
      <c r="B159" s="115">
        <f t="shared" si="5"/>
        <v>0.84</v>
      </c>
      <c r="C159" t="str">
        <f t="shared" ref="C159:C165" si="7">C158</f>
        <v>%ww</v>
      </c>
      <c r="D159" s="105">
        <v>0.81</v>
      </c>
      <c r="E159" s="105">
        <v>0.84</v>
      </c>
      <c r="F159" t="s">
        <v>91</v>
      </c>
      <c r="G159">
        <f t="shared" si="4"/>
        <v>2</v>
      </c>
    </row>
    <row r="160" spans="1:7" x14ac:dyDescent="0.2">
      <c r="A160" t="s">
        <v>2643</v>
      </c>
      <c r="B160" s="115">
        <f t="shared" si="5"/>
        <v>0.83</v>
      </c>
      <c r="C160" t="str">
        <f>C159</f>
        <v>%ww</v>
      </c>
      <c r="D160" s="105">
        <v>0.78</v>
      </c>
      <c r="E160" s="105">
        <v>0.83</v>
      </c>
      <c r="F160" t="s">
        <v>83</v>
      </c>
      <c r="G160">
        <f t="shared" si="4"/>
        <v>2</v>
      </c>
    </row>
    <row r="161" spans="1:15" x14ac:dyDescent="0.2">
      <c r="A161" t="s">
        <v>2644</v>
      </c>
      <c r="B161" s="115">
        <f t="shared" si="5"/>
        <v>0.85</v>
      </c>
      <c r="C161" t="str">
        <f t="shared" si="7"/>
        <v>%ww</v>
      </c>
      <c r="D161" s="105">
        <v>0.8</v>
      </c>
      <c r="E161" s="105">
        <v>0.85</v>
      </c>
      <c r="F161" t="s">
        <v>84</v>
      </c>
      <c r="G161">
        <f t="shared" si="4"/>
        <v>2</v>
      </c>
    </row>
    <row r="162" spans="1:15" x14ac:dyDescent="0.2">
      <c r="A162" t="s">
        <v>2645</v>
      </c>
      <c r="B162" s="115">
        <f t="shared" si="5"/>
        <v>0.84</v>
      </c>
      <c r="C162" t="str">
        <f>C161</f>
        <v>%ww</v>
      </c>
      <c r="D162" s="105">
        <v>0.8</v>
      </c>
      <c r="E162" s="105">
        <v>0.84</v>
      </c>
      <c r="F162" t="s">
        <v>85</v>
      </c>
      <c r="G162">
        <f t="shared" si="4"/>
        <v>2</v>
      </c>
    </row>
    <row r="163" spans="1:15" x14ac:dyDescent="0.2">
      <c r="A163" t="s">
        <v>2646</v>
      </c>
      <c r="B163" s="115">
        <f t="shared" si="5"/>
        <v>0.83</v>
      </c>
      <c r="C163" t="str">
        <f t="shared" si="7"/>
        <v>%ww</v>
      </c>
      <c r="D163" s="105">
        <v>0.78</v>
      </c>
      <c r="E163" s="105">
        <v>0.83</v>
      </c>
      <c r="F163" t="s">
        <v>86</v>
      </c>
      <c r="G163">
        <f t="shared" si="4"/>
        <v>2</v>
      </c>
    </row>
    <row r="164" spans="1:15" x14ac:dyDescent="0.2">
      <c r="A164" t="s">
        <v>2647</v>
      </c>
      <c r="B164" s="115">
        <f t="shared" si="5"/>
        <v>0.85</v>
      </c>
      <c r="C164" t="str">
        <f t="shared" si="7"/>
        <v>%ww</v>
      </c>
      <c r="D164" s="105">
        <v>0.72</v>
      </c>
      <c r="E164" s="105">
        <v>0.85</v>
      </c>
      <c r="F164" t="s">
        <v>87</v>
      </c>
      <c r="G164">
        <f t="shared" si="4"/>
        <v>2</v>
      </c>
    </row>
    <row r="165" spans="1:15" x14ac:dyDescent="0.2">
      <c r="A165" s="44" t="s">
        <v>2648</v>
      </c>
      <c r="B165" s="115">
        <f t="shared" si="5"/>
        <v>0.84</v>
      </c>
      <c r="C165" s="44" t="str">
        <f t="shared" si="7"/>
        <v>%ww</v>
      </c>
      <c r="D165" s="113">
        <v>0.72</v>
      </c>
      <c r="E165" s="113">
        <v>0.84</v>
      </c>
      <c r="F165" s="44" t="s">
        <v>88</v>
      </c>
      <c r="G165" s="44">
        <f t="shared" si="4"/>
        <v>2</v>
      </c>
    </row>
    <row r="167" spans="1:15" x14ac:dyDescent="0.2">
      <c r="A167" s="7" t="s">
        <v>2841</v>
      </c>
    </row>
    <row r="168" spans="1:15" ht="26.5" customHeight="1" x14ac:dyDescent="0.2">
      <c r="A168" s="35" t="str">
        <f t="shared" ref="A168:G168" si="8">A187</f>
        <v>Parameter</v>
      </c>
      <c r="B168" s="35" t="str">
        <f t="shared" si="8"/>
        <v>Value</v>
      </c>
      <c r="C168" s="35" t="str">
        <f t="shared" si="8"/>
        <v>Unit</v>
      </c>
      <c r="D168" s="35" t="str">
        <f t="shared" si="8"/>
        <v xml:space="preserve">Min </v>
      </c>
      <c r="E168" s="35" t="str">
        <f t="shared" si="8"/>
        <v>Max</v>
      </c>
      <c r="F168" s="35" t="str">
        <f t="shared" si="8"/>
        <v>Description</v>
      </c>
      <c r="G168" s="35" t="str">
        <f t="shared" si="8"/>
        <v>Reference</v>
      </c>
      <c r="I168" s="45"/>
      <c r="J168" s="45"/>
      <c r="K168" s="45"/>
      <c r="L168" s="45"/>
      <c r="M168" s="45"/>
      <c r="N168" s="45"/>
      <c r="O168" s="45"/>
    </row>
    <row r="169" spans="1:15" x14ac:dyDescent="0.2">
      <c r="A169" s="5" t="s">
        <v>2681</v>
      </c>
      <c r="B169" s="115">
        <f>IF($B$85="best case",E169,IF($B$85="worst case",D169,"select best or worst case"))</f>
        <v>0.90100000000000002</v>
      </c>
      <c r="C169"/>
      <c r="D169" s="109">
        <v>0.58099999999999996</v>
      </c>
      <c r="E169" s="109">
        <v>0.90100000000000002</v>
      </c>
      <c r="F169" t="s">
        <v>2686</v>
      </c>
      <c r="G169" s="25" t="str">
        <f>A21&amp;", "&amp;A25</f>
        <v>5, 9</v>
      </c>
    </row>
    <row r="170" spans="1:15" x14ac:dyDescent="0.2">
      <c r="A170" s="5" t="s">
        <v>2682</v>
      </c>
      <c r="B170" s="115">
        <v>0.80800000000000005</v>
      </c>
      <c r="C170"/>
      <c r="D170" s="109">
        <v>0.80800000000000005</v>
      </c>
      <c r="E170" s="109">
        <v>0.90100000000000002</v>
      </c>
      <c r="F170" t="s">
        <v>2687</v>
      </c>
      <c r="G170" s="25" t="str">
        <f>A21&amp;", "&amp;A25</f>
        <v>5, 9</v>
      </c>
    </row>
    <row r="171" spans="1:15" x14ac:dyDescent="0.2">
      <c r="A171" s="5" t="s">
        <v>2683</v>
      </c>
      <c r="B171" s="115">
        <f>IF($B$85="best case",E171,IF($B$85="worst case",D171,"select best or worst case"))</f>
        <v>0.90100000000000002</v>
      </c>
      <c r="C171"/>
      <c r="D171" s="109">
        <v>0.58099999999999996</v>
      </c>
      <c r="E171" s="109">
        <v>0.90100000000000002</v>
      </c>
      <c r="F171" t="s">
        <v>2688</v>
      </c>
      <c r="G171" s="25" t="str">
        <f>A21&amp;", "&amp;A25</f>
        <v>5, 9</v>
      </c>
    </row>
    <row r="172" spans="1:15" x14ac:dyDescent="0.2">
      <c r="A172" s="5" t="s">
        <v>2684</v>
      </c>
      <c r="B172" s="115">
        <v>0.84799999999999998</v>
      </c>
      <c r="C172"/>
      <c r="D172" s="109">
        <v>0.84799999999999998</v>
      </c>
      <c r="E172" s="109">
        <v>0.90100000000000002</v>
      </c>
      <c r="F172" t="s">
        <v>2689</v>
      </c>
      <c r="G172" s="25" t="str">
        <f>A21&amp;", "&amp;A25</f>
        <v>5, 9</v>
      </c>
    </row>
    <row r="173" spans="1:15" x14ac:dyDescent="0.2">
      <c r="A173" s="5" t="s">
        <v>2685</v>
      </c>
      <c r="B173" s="115">
        <f t="shared" ref="B173:B178" si="9">IF($B$85="best case",E173,IF($B$85="worst case",D173,"select best or worst case"))</f>
        <v>0.90100000000000002</v>
      </c>
      <c r="C173"/>
      <c r="D173" s="109">
        <v>0.58099999999999996</v>
      </c>
      <c r="E173" s="109">
        <v>0.90100000000000002</v>
      </c>
      <c r="F173" t="s">
        <v>2690</v>
      </c>
      <c r="G173" s="25" t="str">
        <f>A21&amp;", "&amp;A25</f>
        <v>5, 9</v>
      </c>
    </row>
    <row r="174" spans="1:15" x14ac:dyDescent="0.2">
      <c r="A174" s="5" t="s">
        <v>2844</v>
      </c>
      <c r="B174" s="115">
        <f t="shared" si="9"/>
        <v>0.9</v>
      </c>
      <c r="C174"/>
      <c r="D174" s="109">
        <v>0.75</v>
      </c>
      <c r="E174" s="109">
        <v>0.9</v>
      </c>
      <c r="F174" t="s">
        <v>2845</v>
      </c>
      <c r="G174" s="25">
        <f>A27</f>
        <v>11</v>
      </c>
    </row>
    <row r="175" spans="1:15" x14ac:dyDescent="0.2">
      <c r="A175" s="5" t="s">
        <v>2622</v>
      </c>
      <c r="B175" s="115">
        <f t="shared" si="9"/>
        <v>0.79800000000000004</v>
      </c>
      <c r="C175"/>
      <c r="D175" s="109">
        <v>0.63600000000000001</v>
      </c>
      <c r="E175" s="109">
        <v>0.79800000000000004</v>
      </c>
      <c r="F175" t="s">
        <v>2675</v>
      </c>
      <c r="G175">
        <f>A25</f>
        <v>9</v>
      </c>
    </row>
    <row r="176" spans="1:15" x14ac:dyDescent="0.2">
      <c r="A176" s="5" t="s">
        <v>2623</v>
      </c>
      <c r="B176" s="115">
        <f t="shared" si="9"/>
        <v>7.3999999999999996E-2</v>
      </c>
      <c r="C176"/>
      <c r="D176" s="109">
        <v>0.05</v>
      </c>
      <c r="E176" s="109">
        <v>7.3999999999999996E-2</v>
      </c>
      <c r="F176" t="s">
        <v>2676</v>
      </c>
      <c r="G176">
        <f>A25</f>
        <v>9</v>
      </c>
    </row>
    <row r="177" spans="1:7" x14ac:dyDescent="0.2">
      <c r="A177" s="5" t="s">
        <v>2624</v>
      </c>
      <c r="B177" s="115">
        <f t="shared" si="9"/>
        <v>0.81499999999999995</v>
      </c>
      <c r="C177"/>
      <c r="D177" s="109">
        <v>0.70299999999999996</v>
      </c>
      <c r="E177" s="109">
        <v>0.81499999999999995</v>
      </c>
      <c r="F177" t="s">
        <v>2677</v>
      </c>
      <c r="G177" s="25" t="str">
        <f>A21&amp;", "&amp;A25</f>
        <v>5, 9</v>
      </c>
    </row>
    <row r="178" spans="1:7" x14ac:dyDescent="0.2">
      <c r="A178" s="5" t="s">
        <v>2625</v>
      </c>
      <c r="B178" s="115">
        <f t="shared" si="9"/>
        <v>7.1999999999999995E-2</v>
      </c>
      <c r="C178"/>
      <c r="D178" s="109">
        <v>5.5E-2</v>
      </c>
      <c r="E178" s="109">
        <v>7.1999999999999995E-2</v>
      </c>
      <c r="F178" t="s">
        <v>2678</v>
      </c>
      <c r="G178" s="25" t="str">
        <f>A21&amp;", "&amp;A25</f>
        <v>5, 9</v>
      </c>
    </row>
    <row r="179" spans="1:7" x14ac:dyDescent="0.2">
      <c r="A179" s="5" t="s">
        <v>2626</v>
      </c>
      <c r="B179" s="115">
        <f t="shared" ref="B179:B184" si="10">IF($B$85="best case",E179,IF($B$85="worst case",D179,"select best or worst case"))</f>
        <v>0.70299999999999996</v>
      </c>
      <c r="C179"/>
      <c r="D179" s="109">
        <v>0.63600000000000001</v>
      </c>
      <c r="E179" s="109">
        <v>0.70299999999999996</v>
      </c>
      <c r="F179" t="s">
        <v>2679</v>
      </c>
      <c r="G179" s="25" t="str">
        <f>A21&amp;", "&amp;A25</f>
        <v>5, 9</v>
      </c>
    </row>
    <row r="180" spans="1:7" x14ac:dyDescent="0.2">
      <c r="A180" t="s">
        <v>2627</v>
      </c>
      <c r="B180" s="115">
        <f t="shared" si="10"/>
        <v>5.5E-2</v>
      </c>
      <c r="C180"/>
      <c r="D180" s="109">
        <v>0.05</v>
      </c>
      <c r="E180" s="109">
        <v>5.5E-2</v>
      </c>
      <c r="F180" t="s">
        <v>2680</v>
      </c>
      <c r="G180" s="25" t="str">
        <f>A21&amp;", "&amp;A25</f>
        <v>5, 9</v>
      </c>
    </row>
    <row r="181" spans="1:7" x14ac:dyDescent="0.2">
      <c r="A181" t="s">
        <v>2843</v>
      </c>
      <c r="B181" s="115">
        <f t="shared" si="10"/>
        <v>0.98</v>
      </c>
      <c r="C181"/>
      <c r="D181" s="109">
        <v>0.76</v>
      </c>
      <c r="E181" s="109">
        <v>0.98</v>
      </c>
      <c r="F181" t="s">
        <v>2842</v>
      </c>
      <c r="G181" s="25">
        <f>A27</f>
        <v>11</v>
      </c>
    </row>
    <row r="182" spans="1:7" x14ac:dyDescent="0.2">
      <c r="A182" t="s">
        <v>2628</v>
      </c>
      <c r="B182" s="115">
        <f t="shared" si="10"/>
        <v>0.98</v>
      </c>
      <c r="C182"/>
      <c r="D182" s="109">
        <v>0.98</v>
      </c>
      <c r="E182" s="109">
        <v>0.98</v>
      </c>
      <c r="F182" t="s">
        <v>2691</v>
      </c>
      <c r="G182" s="25">
        <f>A21</f>
        <v>5</v>
      </c>
    </row>
    <row r="183" spans="1:7" x14ac:dyDescent="0.2">
      <c r="A183" t="s">
        <v>2629</v>
      </c>
      <c r="B183" s="115">
        <f t="shared" si="10"/>
        <v>0.02</v>
      </c>
      <c r="C183"/>
      <c r="D183" s="109">
        <v>0.02</v>
      </c>
      <c r="E183" s="109">
        <v>0.02</v>
      </c>
      <c r="F183" t="s">
        <v>2692</v>
      </c>
      <c r="G183" s="25">
        <f>A21</f>
        <v>5</v>
      </c>
    </row>
    <row r="184" spans="1:7" x14ac:dyDescent="0.2">
      <c r="A184" s="44" t="s">
        <v>2630</v>
      </c>
      <c r="B184" s="137">
        <f t="shared" si="10"/>
        <v>0.98</v>
      </c>
      <c r="C184" s="44"/>
      <c r="D184" s="110">
        <v>0.5</v>
      </c>
      <c r="E184" s="110">
        <v>0.98</v>
      </c>
      <c r="F184" s="44" t="s">
        <v>2693</v>
      </c>
      <c r="G184" s="146" t="str">
        <f>A21&amp;", "&amp;A23</f>
        <v>5, 7</v>
      </c>
    </row>
    <row r="185" spans="1:7" x14ac:dyDescent="0.2">
      <c r="B185" s="111"/>
      <c r="D185" s="111"/>
      <c r="E185" s="111"/>
      <c r="G185" s="135"/>
    </row>
    <row r="186" spans="1:7" x14ac:dyDescent="0.2">
      <c r="A186" s="23" t="s">
        <v>2661</v>
      </c>
      <c r="B186" s="23"/>
      <c r="C186" s="23"/>
      <c r="D186" s="112"/>
    </row>
    <row r="187" spans="1:7" x14ac:dyDescent="0.2">
      <c r="A187" s="35" t="s">
        <v>49</v>
      </c>
      <c r="B187" s="35" t="s">
        <v>3</v>
      </c>
      <c r="C187" s="35" t="s">
        <v>4</v>
      </c>
      <c r="D187" s="35" t="s">
        <v>2576</v>
      </c>
      <c r="E187" s="35" t="s">
        <v>6</v>
      </c>
      <c r="F187" s="35" t="s">
        <v>7</v>
      </c>
      <c r="G187" s="35" t="s">
        <v>112</v>
      </c>
    </row>
    <row r="188" spans="1:7" x14ac:dyDescent="0.2">
      <c r="A188" t="s">
        <v>2666</v>
      </c>
      <c r="B188" s="115">
        <f>IF($B$85="best case",E188,IF($B$85="worst case",D188,"select best or worst case"))</f>
        <v>0.9</v>
      </c>
      <c r="C188" s="70" t="s">
        <v>114</v>
      </c>
      <c r="D188" s="105">
        <v>0.85</v>
      </c>
      <c r="E188" s="105">
        <v>0.9</v>
      </c>
      <c r="F188" t="s">
        <v>2659</v>
      </c>
      <c r="G188">
        <f>A20</f>
        <v>4</v>
      </c>
    </row>
    <row r="189" spans="1:7" x14ac:dyDescent="0.2">
      <c r="A189" s="24" t="s">
        <v>186</v>
      </c>
      <c r="B189" s="115">
        <f t="shared" ref="B189:B193" si="11">IF($B$85="best case",E189,IF($B$85="worst case",D189,"select best or worst case"))</f>
        <v>0.26</v>
      </c>
      <c r="C189" s="39" t="s">
        <v>185</v>
      </c>
      <c r="D189" s="105">
        <v>0.26</v>
      </c>
      <c r="E189" s="105">
        <v>0.26</v>
      </c>
      <c r="F189" t="s">
        <v>199</v>
      </c>
      <c r="G189" s="25">
        <f>G188</f>
        <v>4</v>
      </c>
    </row>
    <row r="190" spans="1:7" x14ac:dyDescent="0.2">
      <c r="A190" s="24" t="s">
        <v>207</v>
      </c>
      <c r="B190" s="115">
        <f t="shared" si="11"/>
        <v>0.62</v>
      </c>
      <c r="C190" s="39" t="s">
        <v>185</v>
      </c>
      <c r="D190" s="105">
        <v>0.62</v>
      </c>
      <c r="E190" s="105">
        <v>0.62</v>
      </c>
      <c r="F190" t="s">
        <v>200</v>
      </c>
      <c r="G190" s="25">
        <f t="shared" ref="G190:G193" si="12">G189</f>
        <v>4</v>
      </c>
    </row>
    <row r="191" spans="1:7" x14ac:dyDescent="0.2">
      <c r="A191" s="24" t="s">
        <v>208</v>
      </c>
      <c r="B191" s="115">
        <f t="shared" si="11"/>
        <v>0.12</v>
      </c>
      <c r="C191" s="39" t="s">
        <v>185</v>
      </c>
      <c r="D191" s="105">
        <v>0.12</v>
      </c>
      <c r="E191" s="105">
        <v>0.12</v>
      </c>
      <c r="F191" t="s">
        <v>198</v>
      </c>
      <c r="G191" s="25">
        <f t="shared" si="12"/>
        <v>4</v>
      </c>
    </row>
    <row r="192" spans="1:7" x14ac:dyDescent="0.2">
      <c r="A192" s="24" t="s">
        <v>3098</v>
      </c>
      <c r="B192" s="115">
        <f t="shared" si="11"/>
        <v>0.5</v>
      </c>
      <c r="C192" s="39" t="s">
        <v>114</v>
      </c>
      <c r="D192" s="105">
        <v>0.5</v>
      </c>
      <c r="E192" s="105">
        <v>0.5</v>
      </c>
      <c r="F192" t="s">
        <v>2673</v>
      </c>
      <c r="G192" s="25">
        <f t="shared" si="12"/>
        <v>4</v>
      </c>
    </row>
    <row r="193" spans="1:7" x14ac:dyDescent="0.2">
      <c r="A193" s="39" t="s">
        <v>3097</v>
      </c>
      <c r="B193" s="115">
        <f t="shared" si="11"/>
        <v>1.2</v>
      </c>
      <c r="C193" s="39" t="s">
        <v>114</v>
      </c>
      <c r="D193" s="105">
        <v>1.2</v>
      </c>
      <c r="E193" s="105">
        <v>1.2</v>
      </c>
      <c r="F193" t="s">
        <v>2674</v>
      </c>
      <c r="G193" s="25">
        <f t="shared" si="12"/>
        <v>4</v>
      </c>
    </row>
    <row r="194" spans="1:7" x14ac:dyDescent="0.2">
      <c r="A194" t="s">
        <v>156</v>
      </c>
      <c r="B194" s="136">
        <f>IF($B$85="best case",E194,IF($B$85="worst case",D194,"select best or worst case"))</f>
        <v>5.4594999999999998E-2</v>
      </c>
      <c r="C194" t="s">
        <v>10</v>
      </c>
      <c r="D194" s="115">
        <f>F120</f>
        <v>5.4594999999999998E-2</v>
      </c>
      <c r="E194" s="115">
        <f>D194</f>
        <v>5.4594999999999998E-2</v>
      </c>
      <c r="F194" t="s">
        <v>129</v>
      </c>
      <c r="G194">
        <f>J120</f>
        <v>3</v>
      </c>
    </row>
    <row r="195" spans="1:7" x14ac:dyDescent="0.2">
      <c r="A195" t="s">
        <v>157</v>
      </c>
      <c r="B195" s="136">
        <f t="shared" ref="B195:B201" si="13">IF($B$85="best case",E195,IF($B$85="worst case",D195,"select best or worst case"))</f>
        <v>2.1295999999999999E-2</v>
      </c>
      <c r="C195" t="s">
        <v>10</v>
      </c>
      <c r="D195" s="115">
        <f>F121</f>
        <v>2.1295999999999999E-2</v>
      </c>
      <c r="E195" s="115">
        <f t="shared" ref="E195:E201" si="14">D195</f>
        <v>2.1295999999999999E-2</v>
      </c>
      <c r="F195" t="s">
        <v>136</v>
      </c>
      <c r="G195">
        <f>J121</f>
        <v>3</v>
      </c>
    </row>
    <row r="196" spans="1:7" x14ac:dyDescent="0.2">
      <c r="A196" t="s">
        <v>158</v>
      </c>
      <c r="B196" s="136">
        <f t="shared" si="13"/>
        <v>3.7791600000000002E-2</v>
      </c>
      <c r="C196" t="s">
        <v>10</v>
      </c>
      <c r="D196" s="115">
        <f>F122</f>
        <v>3.7791600000000002E-2</v>
      </c>
      <c r="E196" s="115">
        <f t="shared" si="14"/>
        <v>3.7791600000000002E-2</v>
      </c>
      <c r="F196" t="s">
        <v>137</v>
      </c>
      <c r="G196">
        <f>J122</f>
        <v>3</v>
      </c>
    </row>
    <row r="197" spans="1:7" x14ac:dyDescent="0.2">
      <c r="A197" t="s">
        <v>159</v>
      </c>
      <c r="B197" s="136">
        <f t="shared" si="13"/>
        <v>5.1095000000000002E-2</v>
      </c>
      <c r="C197" t="s">
        <v>10</v>
      </c>
      <c r="D197" s="115">
        <f>F123</f>
        <v>5.1095000000000002E-2</v>
      </c>
      <c r="E197" s="115">
        <f t="shared" si="14"/>
        <v>5.1095000000000002E-2</v>
      </c>
      <c r="F197" t="s">
        <v>138</v>
      </c>
      <c r="G197">
        <f>J123</f>
        <v>3</v>
      </c>
    </row>
    <row r="198" spans="1:7" x14ac:dyDescent="0.2">
      <c r="A198" t="s">
        <v>160</v>
      </c>
      <c r="B198" s="115">
        <f t="shared" si="13"/>
        <v>0.94540499999999994</v>
      </c>
      <c r="C198" t="s">
        <v>10</v>
      </c>
      <c r="D198" s="115">
        <f>D120+E120</f>
        <v>0.94540499999999994</v>
      </c>
      <c r="E198" s="115">
        <f t="shared" si="14"/>
        <v>0.94540499999999994</v>
      </c>
      <c r="F198" t="s">
        <v>139</v>
      </c>
      <c r="G198">
        <f>J120</f>
        <v>3</v>
      </c>
    </row>
    <row r="199" spans="1:7" x14ac:dyDescent="0.2">
      <c r="A199" t="s">
        <v>161</v>
      </c>
      <c r="B199" s="115">
        <f t="shared" si="13"/>
        <v>0.97870400000000002</v>
      </c>
      <c r="C199" t="s">
        <v>10</v>
      </c>
      <c r="D199" s="115">
        <f>D121+E121</f>
        <v>0.97870400000000002</v>
      </c>
      <c r="E199" s="115">
        <f t="shared" si="14"/>
        <v>0.97870400000000002</v>
      </c>
      <c r="F199" t="s">
        <v>140</v>
      </c>
      <c r="G199">
        <f>J121</f>
        <v>3</v>
      </c>
    </row>
    <row r="200" spans="1:7" x14ac:dyDescent="0.2">
      <c r="A200" t="s">
        <v>162</v>
      </c>
      <c r="B200" s="115">
        <f t="shared" si="13"/>
        <v>0.96220839999999996</v>
      </c>
      <c r="C200" t="s">
        <v>10</v>
      </c>
      <c r="D200" s="115">
        <f>D122+E122</f>
        <v>0.96220839999999996</v>
      </c>
      <c r="E200" s="115">
        <f t="shared" si="14"/>
        <v>0.96220839999999996</v>
      </c>
      <c r="F200" t="s">
        <v>141</v>
      </c>
      <c r="G200">
        <f>J122</f>
        <v>3</v>
      </c>
    </row>
    <row r="201" spans="1:7" x14ac:dyDescent="0.2">
      <c r="A201" s="44" t="s">
        <v>163</v>
      </c>
      <c r="B201" s="115">
        <f t="shared" si="13"/>
        <v>0.94890499999999989</v>
      </c>
      <c r="C201" s="44" t="s">
        <v>10</v>
      </c>
      <c r="D201" s="115">
        <f>D123+E123</f>
        <v>0.94890499999999989</v>
      </c>
      <c r="E201" s="115">
        <f t="shared" si="14"/>
        <v>0.94890499999999989</v>
      </c>
      <c r="F201" s="44" t="s">
        <v>142</v>
      </c>
      <c r="G201" s="44">
        <f>J123</f>
        <v>3</v>
      </c>
    </row>
    <row r="203" spans="1:7" x14ac:dyDescent="0.2">
      <c r="A203" s="7" t="s">
        <v>2667</v>
      </c>
    </row>
    <row r="204" spans="1:7" x14ac:dyDescent="0.2">
      <c r="A204" s="35" t="s">
        <v>49</v>
      </c>
      <c r="B204" s="35" t="s">
        <v>3</v>
      </c>
      <c r="C204" s="35" t="s">
        <v>4</v>
      </c>
      <c r="D204" s="35" t="s">
        <v>2576</v>
      </c>
      <c r="E204" s="35" t="s">
        <v>6</v>
      </c>
      <c r="F204" s="35" t="s">
        <v>7</v>
      </c>
      <c r="G204" s="35" t="s">
        <v>112</v>
      </c>
    </row>
    <row r="205" spans="1:7" x14ac:dyDescent="0.2">
      <c r="A205" t="s">
        <v>170</v>
      </c>
      <c r="B205" s="115">
        <f>IF($B$85="best case",E205,IF($B$85="worst case",D205,"select best or worst case"))</f>
        <v>0.68735999999999997</v>
      </c>
      <c r="C205" s="9" t="s">
        <v>96</v>
      </c>
      <c r="D205" s="115">
        <v>0.68735999999999997</v>
      </c>
      <c r="E205" s="115">
        <v>0.68735999999999997</v>
      </c>
      <c r="F205" t="s">
        <v>2662</v>
      </c>
      <c r="G205">
        <f>J120</f>
        <v>3</v>
      </c>
    </row>
    <row r="206" spans="1:7" x14ac:dyDescent="0.2">
      <c r="A206" t="s">
        <v>171</v>
      </c>
      <c r="B206" s="115">
        <f t="shared" ref="B206:B212" si="15">IF($B$85="best case",E206,IF($B$85="worst case",D206,"select best or worst case"))</f>
        <v>0.76956000000000002</v>
      </c>
      <c r="C206" s="9" t="s">
        <v>96</v>
      </c>
      <c r="D206" s="115">
        <v>0.76956000000000002</v>
      </c>
      <c r="E206" s="115">
        <v>0.76956000000000002</v>
      </c>
      <c r="F206" t="s">
        <v>2663</v>
      </c>
      <c r="G206">
        <f>J121</f>
        <v>3</v>
      </c>
    </row>
    <row r="207" spans="1:7" x14ac:dyDescent="0.2">
      <c r="A207" t="s">
        <v>172</v>
      </c>
      <c r="B207" s="115">
        <f t="shared" si="15"/>
        <v>0.7008624</v>
      </c>
      <c r="C207" s="9" t="s">
        <v>96</v>
      </c>
      <c r="D207" s="115">
        <v>0.7008624</v>
      </c>
      <c r="E207" s="115">
        <v>0.7008624</v>
      </c>
      <c r="F207" t="s">
        <v>2664</v>
      </c>
      <c r="G207">
        <f>J122</f>
        <v>3</v>
      </c>
    </row>
    <row r="208" spans="1:7" x14ac:dyDescent="0.2">
      <c r="A208" t="s">
        <v>173</v>
      </c>
      <c r="B208" s="115">
        <f t="shared" si="15"/>
        <v>0.65587399999999996</v>
      </c>
      <c r="C208" s="9" t="s">
        <v>96</v>
      </c>
      <c r="D208" s="115">
        <v>0.65587399999999996</v>
      </c>
      <c r="E208" s="115">
        <v>0.65587399999999996</v>
      </c>
      <c r="F208" t="s">
        <v>2665</v>
      </c>
      <c r="G208">
        <f>J123</f>
        <v>3</v>
      </c>
    </row>
    <row r="209" spans="1:7" x14ac:dyDescent="0.2">
      <c r="A209" t="s">
        <v>180</v>
      </c>
      <c r="B209" s="115">
        <f t="shared" si="15"/>
        <v>32.703299999999999</v>
      </c>
      <c r="C209" s="9" t="s">
        <v>121</v>
      </c>
      <c r="D209" s="115">
        <v>32.703299999999999</v>
      </c>
      <c r="E209" s="115">
        <v>32.703299999999999</v>
      </c>
      <c r="F209" t="s">
        <v>122</v>
      </c>
      <c r="G209">
        <f>J120</f>
        <v>3</v>
      </c>
    </row>
    <row r="210" spans="1:7" x14ac:dyDescent="0.2">
      <c r="A210" t="s">
        <v>181</v>
      </c>
      <c r="B210" s="115">
        <f t="shared" si="15"/>
        <v>36.212879999999998</v>
      </c>
      <c r="C210" s="9" t="s">
        <v>121</v>
      </c>
      <c r="D210" s="115">
        <v>36.212879999999998</v>
      </c>
      <c r="E210" s="115">
        <v>36.212879999999998</v>
      </c>
      <c r="F210" t="s">
        <v>123</v>
      </c>
      <c r="G210">
        <f>J121</f>
        <v>3</v>
      </c>
    </row>
    <row r="211" spans="1:7" x14ac:dyDescent="0.2">
      <c r="A211" t="s">
        <v>182</v>
      </c>
      <c r="B211" s="115">
        <f t="shared" si="15"/>
        <v>34.407533999999998</v>
      </c>
      <c r="C211" s="9" t="s">
        <v>121</v>
      </c>
      <c r="D211" s="115">
        <v>34.407533999999998</v>
      </c>
      <c r="E211" s="115">
        <v>34.407533999999998</v>
      </c>
      <c r="F211" t="s">
        <v>124</v>
      </c>
      <c r="G211">
        <f>J122</f>
        <v>3</v>
      </c>
    </row>
    <row r="212" spans="1:7" x14ac:dyDescent="0.2">
      <c r="A212" s="44" t="s">
        <v>183</v>
      </c>
      <c r="B212" s="115">
        <f t="shared" si="15"/>
        <v>29.690840000000001</v>
      </c>
      <c r="C212" s="112" t="s">
        <v>121</v>
      </c>
      <c r="D212" s="137">
        <v>29.690840000000001</v>
      </c>
      <c r="E212" s="137">
        <v>29.690840000000001</v>
      </c>
      <c r="F212" s="44" t="s">
        <v>125</v>
      </c>
      <c r="G212" s="44">
        <f>J123</f>
        <v>3</v>
      </c>
    </row>
    <row r="213" spans="1:7" x14ac:dyDescent="0.2">
      <c r="A213"/>
    </row>
    <row r="214" spans="1:7" x14ac:dyDescent="0.2">
      <c r="A214" s="23" t="s">
        <v>2758</v>
      </c>
      <c r="B214" s="112">
        <f>D219*3.6</f>
        <v>0.23400000000000001</v>
      </c>
      <c r="C214" s="112">
        <f>E218*3.6</f>
        <v>3.6000000000000004E-2</v>
      </c>
      <c r="D214" s="112"/>
      <c r="E214" s="112"/>
      <c r="F214" s="112"/>
      <c r="G214" s="112"/>
    </row>
    <row r="215" spans="1:7" x14ac:dyDescent="0.2">
      <c r="A215" s="130" t="s">
        <v>49</v>
      </c>
      <c r="B215" s="130" t="s">
        <v>3</v>
      </c>
      <c r="C215" s="130" t="s">
        <v>4</v>
      </c>
      <c r="D215" s="130" t="s">
        <v>5</v>
      </c>
      <c r="E215" s="130" t="s">
        <v>6</v>
      </c>
      <c r="F215" s="130" t="s">
        <v>7</v>
      </c>
      <c r="G215" s="130" t="s">
        <v>112</v>
      </c>
    </row>
    <row r="216" spans="1:7" x14ac:dyDescent="0.2">
      <c r="A216" s="9" t="s">
        <v>2833</v>
      </c>
      <c r="B216" s="115">
        <f t="shared" ref="B216:B223" si="16">IF($B$85="best case",E216,IF($B$85="worst case",D216,"select best or worst case"))</f>
        <v>0.05</v>
      </c>
      <c r="C216" s="9" t="s">
        <v>2829</v>
      </c>
      <c r="D216" s="105">
        <f>50/1000</f>
        <v>0.05</v>
      </c>
      <c r="E216" s="105">
        <f>D216</f>
        <v>0.05</v>
      </c>
      <c r="F216" s="9" t="s">
        <v>2883</v>
      </c>
      <c r="G216" s="9">
        <f>A20</f>
        <v>4</v>
      </c>
    </row>
    <row r="217" spans="1:7" x14ac:dyDescent="0.2">
      <c r="A217" s="9" t="s">
        <v>2864</v>
      </c>
      <c r="B217" s="115">
        <f t="shared" si="16"/>
        <v>0.04</v>
      </c>
      <c r="C217" s="9" t="s">
        <v>2829</v>
      </c>
      <c r="D217" s="105">
        <f>40/1000</f>
        <v>0.04</v>
      </c>
      <c r="E217" s="105">
        <f>D217</f>
        <v>0.04</v>
      </c>
      <c r="F217" s="9" t="s">
        <v>2884</v>
      </c>
      <c r="G217" s="9">
        <f>A20</f>
        <v>4</v>
      </c>
    </row>
    <row r="218" spans="1:7" x14ac:dyDescent="0.2">
      <c r="A218" s="9" t="s">
        <v>2834</v>
      </c>
      <c r="B218" s="136">
        <f t="shared" si="16"/>
        <v>0.01</v>
      </c>
      <c r="C218" s="9" t="s">
        <v>2829</v>
      </c>
      <c r="D218" s="105">
        <f>10/1000</f>
        <v>0.01</v>
      </c>
      <c r="E218" s="105">
        <f>10/1000</f>
        <v>0.01</v>
      </c>
      <c r="F218" s="9" t="s">
        <v>2885</v>
      </c>
      <c r="G218" s="9">
        <f>A20</f>
        <v>4</v>
      </c>
    </row>
    <row r="219" spans="1:7" x14ac:dyDescent="0.2">
      <c r="A219" s="9" t="s">
        <v>2837</v>
      </c>
      <c r="B219" s="115">
        <f t="shared" si="16"/>
        <v>6.5000000000000002E-2</v>
      </c>
      <c r="C219" s="9" t="s">
        <v>2829</v>
      </c>
      <c r="D219" s="105">
        <f>65/1000</f>
        <v>6.5000000000000002E-2</v>
      </c>
      <c r="E219" s="105">
        <f>D219</f>
        <v>6.5000000000000002E-2</v>
      </c>
      <c r="F219" s="9" t="s">
        <v>2886</v>
      </c>
      <c r="G219" s="9">
        <f>A20</f>
        <v>4</v>
      </c>
    </row>
    <row r="220" spans="1:7" x14ac:dyDescent="0.2">
      <c r="A220" s="9" t="s">
        <v>2765</v>
      </c>
      <c r="B220" s="115">
        <f t="shared" si="16"/>
        <v>0.11</v>
      </c>
      <c r="C220" s="9" t="s">
        <v>2910</v>
      </c>
      <c r="D220" s="105">
        <v>0.02</v>
      </c>
      <c r="E220" s="105">
        <v>0.11</v>
      </c>
      <c r="F220" s="9" t="s">
        <v>2887</v>
      </c>
      <c r="G220" s="9">
        <f>A26</f>
        <v>10</v>
      </c>
    </row>
    <row r="221" spans="1:7" x14ac:dyDescent="0.2">
      <c r="A221" s="9" t="s">
        <v>2766</v>
      </c>
      <c r="B221" s="115">
        <f t="shared" si="16"/>
        <v>2.4E-2</v>
      </c>
      <c r="C221" s="9" t="s">
        <v>2911</v>
      </c>
      <c r="D221" s="105">
        <v>2.4E-2</v>
      </c>
      <c r="E221" s="105">
        <v>2.4E-2</v>
      </c>
      <c r="F221" s="9" t="s">
        <v>2888</v>
      </c>
      <c r="G221" s="9">
        <f>A26</f>
        <v>10</v>
      </c>
    </row>
    <row r="222" spans="1:7" x14ac:dyDescent="0.2">
      <c r="A222" s="9" t="s">
        <v>2767</v>
      </c>
      <c r="B222" s="115">
        <f t="shared" si="16"/>
        <v>4.3999999999999997E-2</v>
      </c>
      <c r="C222" s="9" t="s">
        <v>2912</v>
      </c>
      <c r="D222" s="105">
        <v>0.02</v>
      </c>
      <c r="E222" s="105">
        <v>4.3999999999999997E-2</v>
      </c>
      <c r="F222" s="9" t="s">
        <v>2889</v>
      </c>
      <c r="G222" s="9">
        <f>A26</f>
        <v>10</v>
      </c>
    </row>
    <row r="223" spans="1:7" x14ac:dyDescent="0.2">
      <c r="A223" s="9" t="s">
        <v>2768</v>
      </c>
      <c r="B223" s="115">
        <f t="shared" si="16"/>
        <v>2.4E-2</v>
      </c>
      <c r="C223" s="9" t="s">
        <v>2913</v>
      </c>
      <c r="D223" s="105">
        <v>2.4E-2</v>
      </c>
      <c r="E223" s="105">
        <v>2.4E-2</v>
      </c>
      <c r="F223" s="9" t="s">
        <v>2890</v>
      </c>
      <c r="G223" s="9">
        <f>A26</f>
        <v>10</v>
      </c>
    </row>
    <row r="224" spans="1:7" x14ac:dyDescent="0.2">
      <c r="A224" s="9" t="s">
        <v>2769</v>
      </c>
      <c r="B224" s="115">
        <f t="shared" ref="B224:B227" si="17">IF($B$85="best case",E224,IF($B$85="worst case",D224,"select best or worst case"))</f>
        <v>4.3999999999999997E-2</v>
      </c>
      <c r="C224" s="9" t="s">
        <v>2914</v>
      </c>
      <c r="D224" s="105">
        <v>0.02</v>
      </c>
      <c r="E224" s="105">
        <v>4.3999999999999997E-2</v>
      </c>
      <c r="F224" s="9" t="s">
        <v>2891</v>
      </c>
      <c r="G224" s="9">
        <f>A26</f>
        <v>10</v>
      </c>
    </row>
    <row r="225" spans="1:7" x14ac:dyDescent="0.2">
      <c r="A225" s="9" t="s">
        <v>2770</v>
      </c>
      <c r="B225" s="115">
        <f t="shared" si="17"/>
        <v>2.4E-2</v>
      </c>
      <c r="C225" s="9" t="s">
        <v>2915</v>
      </c>
      <c r="D225" s="105">
        <v>2.4E-2</v>
      </c>
      <c r="E225" s="105">
        <v>2.4E-2</v>
      </c>
      <c r="F225" s="9" t="s">
        <v>2892</v>
      </c>
      <c r="G225" s="9">
        <f>A26</f>
        <v>10</v>
      </c>
    </row>
    <row r="226" spans="1:7" x14ac:dyDescent="0.2">
      <c r="A226" s="9" t="s">
        <v>2775</v>
      </c>
      <c r="B226" s="115">
        <f t="shared" si="17"/>
        <v>4.3999999999999997E-2</v>
      </c>
      <c r="C226" s="9" t="s">
        <v>2916</v>
      </c>
      <c r="D226" s="105">
        <v>0.02</v>
      </c>
      <c r="E226" s="105">
        <v>4.3999999999999997E-2</v>
      </c>
      <c r="F226" s="9" t="s">
        <v>2893</v>
      </c>
      <c r="G226" s="9">
        <f>A26</f>
        <v>10</v>
      </c>
    </row>
    <row r="227" spans="1:7" x14ac:dyDescent="0.2">
      <c r="A227" s="9" t="s">
        <v>2776</v>
      </c>
      <c r="B227" s="115">
        <f t="shared" si="17"/>
        <v>2.4E-2</v>
      </c>
      <c r="C227" s="9" t="s">
        <v>2917</v>
      </c>
      <c r="D227" s="105">
        <v>2.4E-2</v>
      </c>
      <c r="E227" s="105">
        <v>2.4E-2</v>
      </c>
      <c r="F227" s="9" t="s">
        <v>2894</v>
      </c>
      <c r="G227" s="9">
        <f>A26</f>
        <v>10</v>
      </c>
    </row>
    <row r="228" spans="1:7" x14ac:dyDescent="0.2">
      <c r="A228" s="9" t="s">
        <v>2759</v>
      </c>
      <c r="B228" s="115">
        <f>IF($B$85="best case",E228,IF($B$85="worst case",D228,"select best or worst case"))</f>
        <v>0.89</v>
      </c>
      <c r="C228" s="9" t="s">
        <v>2910</v>
      </c>
      <c r="D228" s="105">
        <v>0.24</v>
      </c>
      <c r="E228" s="105">
        <v>0.89</v>
      </c>
      <c r="F228" s="9" t="s">
        <v>2895</v>
      </c>
      <c r="G228" s="9">
        <f>A26</f>
        <v>10</v>
      </c>
    </row>
    <row r="229" spans="1:7" x14ac:dyDescent="0.2">
      <c r="A229" s="9" t="s">
        <v>2760</v>
      </c>
      <c r="B229" s="115">
        <f>IF($B$85="best case",E229,IF($B$85="worst case",D229,"select best or worst case"))</f>
        <v>5.45</v>
      </c>
      <c r="C229" s="9" t="s">
        <v>2911</v>
      </c>
      <c r="D229" s="105">
        <v>1.94</v>
      </c>
      <c r="E229" s="105">
        <v>5.45</v>
      </c>
      <c r="F229" s="9" t="s">
        <v>2896</v>
      </c>
      <c r="G229" s="9">
        <f>A26</f>
        <v>10</v>
      </c>
    </row>
    <row r="230" spans="1:7" x14ac:dyDescent="0.2">
      <c r="A230" s="9" t="s">
        <v>2761</v>
      </c>
      <c r="B230" s="115">
        <f>IF($B$85="best case",E230,IF($B$85="worst case",D230,"select best or worst case"))</f>
        <v>0.89</v>
      </c>
      <c r="C230" s="9" t="s">
        <v>2912</v>
      </c>
      <c r="D230" s="105">
        <v>0.2</v>
      </c>
      <c r="E230" s="105">
        <v>0.89</v>
      </c>
      <c r="F230" s="9" t="s">
        <v>2897</v>
      </c>
      <c r="G230" s="9">
        <f>A26</f>
        <v>10</v>
      </c>
    </row>
    <row r="231" spans="1:7" x14ac:dyDescent="0.2">
      <c r="A231" s="9" t="s">
        <v>2762</v>
      </c>
      <c r="B231" s="115">
        <f>IF($B$85="best case",E231,IF($B$85="worst case",D231,"select best or worst case"))</f>
        <v>5.54</v>
      </c>
      <c r="C231" s="9" t="s">
        <v>2913</v>
      </c>
      <c r="D231" s="105">
        <v>0.27</v>
      </c>
      <c r="E231" s="105">
        <v>5.54</v>
      </c>
      <c r="F231" s="9" t="s">
        <v>2898</v>
      </c>
      <c r="G231" s="9">
        <f>A26</f>
        <v>10</v>
      </c>
    </row>
    <row r="232" spans="1:7" x14ac:dyDescent="0.2">
      <c r="A232" s="9" t="s">
        <v>2763</v>
      </c>
      <c r="B232" s="115">
        <f t="shared" ref="B232:B244" si="18">IF($B$85="best case",E232,IF($B$85="worst case",D232,"select best or worst case"))</f>
        <v>0.89</v>
      </c>
      <c r="C232" s="9" t="s">
        <v>2914</v>
      </c>
      <c r="D232" s="105">
        <v>0.2</v>
      </c>
      <c r="E232" s="105">
        <v>0.89</v>
      </c>
      <c r="F232" s="9" t="s">
        <v>2899</v>
      </c>
      <c r="G232" s="9">
        <f>A26</f>
        <v>10</v>
      </c>
    </row>
    <row r="233" spans="1:7" x14ac:dyDescent="0.2">
      <c r="A233" s="9" t="s">
        <v>2764</v>
      </c>
      <c r="B233" s="115">
        <f t="shared" si="18"/>
        <v>5.45</v>
      </c>
      <c r="C233" s="9" t="s">
        <v>2915</v>
      </c>
      <c r="D233" s="105">
        <v>0.27</v>
      </c>
      <c r="E233" s="105">
        <v>5.45</v>
      </c>
      <c r="F233" s="9" t="s">
        <v>2900</v>
      </c>
      <c r="G233" s="9">
        <f>A26</f>
        <v>10</v>
      </c>
    </row>
    <row r="234" spans="1:7" x14ac:dyDescent="0.2">
      <c r="A234" s="9" t="s">
        <v>2777</v>
      </c>
      <c r="B234" s="115">
        <f t="shared" si="18"/>
        <v>0.89</v>
      </c>
      <c r="C234" s="9" t="s">
        <v>2916</v>
      </c>
      <c r="D234" s="105">
        <v>0.2</v>
      </c>
      <c r="E234" s="105">
        <v>0.89</v>
      </c>
      <c r="F234" s="9" t="s">
        <v>2901</v>
      </c>
      <c r="G234" s="9">
        <f>A26</f>
        <v>10</v>
      </c>
    </row>
    <row r="235" spans="1:7" x14ac:dyDescent="0.2">
      <c r="A235" s="9" t="s">
        <v>2778</v>
      </c>
      <c r="B235" s="115">
        <f t="shared" si="18"/>
        <v>5.54</v>
      </c>
      <c r="C235" s="9" t="s">
        <v>2917</v>
      </c>
      <c r="D235" s="105">
        <v>0.27</v>
      </c>
      <c r="E235" s="105">
        <v>5.54</v>
      </c>
      <c r="F235" s="9" t="s">
        <v>2902</v>
      </c>
      <c r="G235" s="9">
        <f>A26</f>
        <v>10</v>
      </c>
    </row>
    <row r="236" spans="1:7" x14ac:dyDescent="0.2">
      <c r="A236" s="9" t="s">
        <v>2823</v>
      </c>
      <c r="B236" s="115">
        <f t="shared" si="18"/>
        <v>0.308</v>
      </c>
      <c r="C236" s="9" t="s">
        <v>2830</v>
      </c>
      <c r="D236" s="105">
        <f>(250+58)/1000</f>
        <v>0.308</v>
      </c>
      <c r="E236" s="105">
        <f>(250+58)/1000</f>
        <v>0.308</v>
      </c>
      <c r="F236" s="9" t="s">
        <v>2903</v>
      </c>
      <c r="G236" s="9">
        <f>A21</f>
        <v>5</v>
      </c>
    </row>
    <row r="237" spans="1:7" x14ac:dyDescent="0.2">
      <c r="A237" s="9" t="s">
        <v>2779</v>
      </c>
      <c r="B237" s="115">
        <f t="shared" si="18"/>
        <v>5.8999999999999997E-2</v>
      </c>
      <c r="C237" s="9" t="s">
        <v>2912</v>
      </c>
      <c r="D237" s="105">
        <v>5.8000000000000003E-2</v>
      </c>
      <c r="E237" s="105">
        <v>5.8999999999999997E-2</v>
      </c>
      <c r="F237" s="9" t="s">
        <v>2904</v>
      </c>
      <c r="G237" s="9">
        <f>A26</f>
        <v>10</v>
      </c>
    </row>
    <row r="238" spans="1:7" x14ac:dyDescent="0.2">
      <c r="A238" s="9" t="s">
        <v>2780</v>
      </c>
      <c r="B238" s="115">
        <f t="shared" si="18"/>
        <v>9.67</v>
      </c>
      <c r="C238" s="9" t="s">
        <v>2913</v>
      </c>
      <c r="D238" s="105">
        <v>4.63</v>
      </c>
      <c r="E238" s="105">
        <v>9.67</v>
      </c>
      <c r="F238" s="9" t="s">
        <v>2905</v>
      </c>
      <c r="G238" s="9">
        <f>A26</f>
        <v>10</v>
      </c>
    </row>
    <row r="239" spans="1:7" x14ac:dyDescent="0.2">
      <c r="A239" s="9" t="s">
        <v>2781</v>
      </c>
      <c r="B239" s="115">
        <f t="shared" si="18"/>
        <v>5.8000000000000003E-2</v>
      </c>
      <c r="C239" s="9" t="s">
        <v>2914</v>
      </c>
      <c r="D239" s="105">
        <v>5.8000000000000003E-2</v>
      </c>
      <c r="E239" s="105">
        <v>5.8000000000000003E-2</v>
      </c>
      <c r="F239" s="9" t="s">
        <v>2906</v>
      </c>
      <c r="G239" s="9">
        <f>A26</f>
        <v>10</v>
      </c>
    </row>
    <row r="240" spans="1:7" x14ac:dyDescent="0.2">
      <c r="A240" s="9" t="s">
        <v>2782</v>
      </c>
      <c r="B240" s="115">
        <f t="shared" si="18"/>
        <v>9.67</v>
      </c>
      <c r="C240" s="9" t="s">
        <v>2915</v>
      </c>
      <c r="D240" s="105">
        <v>4.63</v>
      </c>
      <c r="E240" s="105">
        <v>9.67</v>
      </c>
      <c r="F240" s="9" t="s">
        <v>2907</v>
      </c>
      <c r="G240" s="9">
        <f>A26</f>
        <v>10</v>
      </c>
    </row>
    <row r="241" spans="1:7" x14ac:dyDescent="0.2">
      <c r="A241" s="9" t="s">
        <v>2783</v>
      </c>
      <c r="B241" s="115">
        <f t="shared" si="18"/>
        <v>5.8999999999999997E-2</v>
      </c>
      <c r="C241" s="9" t="s">
        <v>2916</v>
      </c>
      <c r="D241" s="105">
        <v>5.8000000000000003E-2</v>
      </c>
      <c r="E241" s="105">
        <v>5.8999999999999997E-2</v>
      </c>
      <c r="F241" s="9" t="s">
        <v>2908</v>
      </c>
      <c r="G241" s="9">
        <f>A26</f>
        <v>10</v>
      </c>
    </row>
    <row r="242" spans="1:7" x14ac:dyDescent="0.2">
      <c r="A242" s="9" t="s">
        <v>2784</v>
      </c>
      <c r="B242" s="115">
        <f t="shared" si="18"/>
        <v>9.67</v>
      </c>
      <c r="C242" s="9" t="s">
        <v>2917</v>
      </c>
      <c r="D242" s="105">
        <v>4.63</v>
      </c>
      <c r="E242" s="105">
        <v>9.67</v>
      </c>
      <c r="F242" s="9" t="s">
        <v>2909</v>
      </c>
      <c r="G242" s="9">
        <f>A26</f>
        <v>10</v>
      </c>
    </row>
    <row r="243" spans="1:7" x14ac:dyDescent="0.2">
      <c r="A243" s="9" t="s">
        <v>2827</v>
      </c>
      <c r="B243" s="115">
        <f t="shared" si="18"/>
        <v>2.3120567375886525</v>
      </c>
      <c r="C243" s="9" t="s">
        <v>2829</v>
      </c>
      <c r="D243" s="109">
        <f>3260/1410</f>
        <v>2.3120567375886525</v>
      </c>
      <c r="E243" s="109">
        <f>D243</f>
        <v>2.3120567375886525</v>
      </c>
      <c r="F243" s="9" t="s">
        <v>2882</v>
      </c>
      <c r="G243" s="9">
        <f>A21</f>
        <v>5</v>
      </c>
    </row>
    <row r="244" spans="1:7" x14ac:dyDescent="0.2">
      <c r="A244" s="9" t="s">
        <v>2826</v>
      </c>
      <c r="B244" s="115">
        <f t="shared" si="18"/>
        <v>0.33333333333333331</v>
      </c>
      <c r="C244" s="9" t="s">
        <v>2829</v>
      </c>
      <c r="D244" s="109">
        <f>(0.41*1000)/1230</f>
        <v>0.33333333333333331</v>
      </c>
      <c r="E244" s="109">
        <f>D244</f>
        <v>0.33333333333333331</v>
      </c>
      <c r="F244" s="9" t="s">
        <v>2881</v>
      </c>
      <c r="G244" s="9">
        <f>A21</f>
        <v>5</v>
      </c>
    </row>
    <row r="245" spans="1:7" x14ac:dyDescent="0.2">
      <c r="A245" s="9" t="s">
        <v>2771</v>
      </c>
      <c r="B245" s="115">
        <f>IF($B$85="best case",E245,IF($B$85="worst case",D245,"select best or worst case"))</f>
        <v>0.42000000000000004</v>
      </c>
      <c r="C245" s="9" t="s">
        <v>2911</v>
      </c>
      <c r="D245" s="115">
        <f>D220*3.6+D221</f>
        <v>9.6000000000000002E-2</v>
      </c>
      <c r="E245" s="115">
        <f>E220*3.6+E221</f>
        <v>0.42000000000000004</v>
      </c>
      <c r="F245" s="9" t="s">
        <v>3071</v>
      </c>
      <c r="G245" s="9">
        <f>A26</f>
        <v>10</v>
      </c>
    </row>
    <row r="246" spans="1:7" x14ac:dyDescent="0.2">
      <c r="A246" s="9" t="s">
        <v>2772</v>
      </c>
      <c r="B246" s="115">
        <f>IF($B$85="best case",E246,IF($B$85="worst case",D246,"select best or worst case"))</f>
        <v>0.18239999999999998</v>
      </c>
      <c r="C246" s="9" t="s">
        <v>2913</v>
      </c>
      <c r="D246" s="115">
        <f>D222*3.6+D223</f>
        <v>9.6000000000000002E-2</v>
      </c>
      <c r="E246" s="115">
        <f>E222*3.6+E223</f>
        <v>0.18239999999999998</v>
      </c>
      <c r="F246" s="9" t="s">
        <v>3072</v>
      </c>
      <c r="G246" s="9">
        <f>A26</f>
        <v>10</v>
      </c>
    </row>
    <row r="247" spans="1:7" x14ac:dyDescent="0.2">
      <c r="A247" s="9" t="s">
        <v>2773</v>
      </c>
      <c r="B247" s="115">
        <f>IF($B$85="best case",E247,IF($B$85="worst case",D247,"select best or worst case"))</f>
        <v>0.18239999999999998</v>
      </c>
      <c r="C247" s="9" t="s">
        <v>2915</v>
      </c>
      <c r="D247" s="115">
        <f>D224*3.6+D225</f>
        <v>9.6000000000000002E-2</v>
      </c>
      <c r="E247" s="115">
        <f>E224*3.6+E225</f>
        <v>0.18239999999999998</v>
      </c>
      <c r="F247" s="9" t="s">
        <v>3073</v>
      </c>
      <c r="G247" s="9">
        <f>A26</f>
        <v>10</v>
      </c>
    </row>
    <row r="248" spans="1:7" x14ac:dyDescent="0.2">
      <c r="A248" s="9" t="s">
        <v>2788</v>
      </c>
      <c r="B248" s="115">
        <f t="shared" ref="B248:B255" si="19">IF($B$85="best case",E248,IF($B$85="worst case",D248,"select best or worst case"))</f>
        <v>0.18239999999999998</v>
      </c>
      <c r="C248" s="9" t="s">
        <v>2917</v>
      </c>
      <c r="D248" s="115">
        <f>D226*3.6+D227</f>
        <v>9.6000000000000002E-2</v>
      </c>
      <c r="E248" s="115">
        <f>E226*3.6+E227</f>
        <v>0.18239999999999998</v>
      </c>
      <c r="F248" s="9" t="s">
        <v>3074</v>
      </c>
      <c r="G248" s="9">
        <f>A26</f>
        <v>10</v>
      </c>
    </row>
    <row r="249" spans="1:7" x14ac:dyDescent="0.2">
      <c r="A249" s="9" t="s">
        <v>2785</v>
      </c>
      <c r="B249" s="115">
        <f t="shared" si="19"/>
        <v>8.6539999999999999</v>
      </c>
      <c r="C249" s="9" t="s">
        <v>2911</v>
      </c>
      <c r="D249" s="115">
        <f>D228*3.6+D229</f>
        <v>2.8039999999999998</v>
      </c>
      <c r="E249" s="115">
        <f>E228*3.6+E229</f>
        <v>8.6539999999999999</v>
      </c>
      <c r="F249" s="9" t="s">
        <v>3075</v>
      </c>
      <c r="G249" s="9">
        <f>A26</f>
        <v>10</v>
      </c>
    </row>
    <row r="250" spans="1:7" x14ac:dyDescent="0.2">
      <c r="A250" s="9" t="s">
        <v>2786</v>
      </c>
      <c r="B250" s="115">
        <f t="shared" si="19"/>
        <v>8.7439999999999998</v>
      </c>
      <c r="C250" s="9" t="s">
        <v>2913</v>
      </c>
      <c r="D250" s="115">
        <f>D230*3.6+D231</f>
        <v>0.9900000000000001</v>
      </c>
      <c r="E250" s="115">
        <f>E230*3.6+E231</f>
        <v>8.7439999999999998</v>
      </c>
      <c r="F250" s="9" t="s">
        <v>3076</v>
      </c>
      <c r="G250" s="9">
        <f>A26</f>
        <v>10</v>
      </c>
    </row>
    <row r="251" spans="1:7" x14ac:dyDescent="0.2">
      <c r="A251" s="9" t="s">
        <v>2787</v>
      </c>
      <c r="B251" s="115">
        <f t="shared" si="19"/>
        <v>8.6539999999999999</v>
      </c>
      <c r="C251" s="9" t="s">
        <v>2915</v>
      </c>
      <c r="D251" s="115">
        <f>D232*3.6+D233</f>
        <v>0.9900000000000001</v>
      </c>
      <c r="E251" s="115">
        <f>E232*3.6+E233</f>
        <v>8.6539999999999999</v>
      </c>
      <c r="F251" s="9" t="s">
        <v>3077</v>
      </c>
      <c r="G251" s="9">
        <f>A26</f>
        <v>10</v>
      </c>
    </row>
    <row r="252" spans="1:7" x14ac:dyDescent="0.2">
      <c r="A252" s="112" t="s">
        <v>2789</v>
      </c>
      <c r="B252" s="137">
        <f t="shared" si="19"/>
        <v>8.7439999999999998</v>
      </c>
      <c r="C252" s="112" t="s">
        <v>2917</v>
      </c>
      <c r="D252" s="137">
        <f>D234*3.6+D235</f>
        <v>0.9900000000000001</v>
      </c>
      <c r="E252" s="137">
        <f>E234*3.6+E235</f>
        <v>8.7439999999999998</v>
      </c>
      <c r="F252" s="9" t="s">
        <v>3078</v>
      </c>
      <c r="G252" s="9">
        <f>A26</f>
        <v>10</v>
      </c>
    </row>
    <row r="253" spans="1:7" x14ac:dyDescent="0.2">
      <c r="A253" s="9" t="s">
        <v>2790</v>
      </c>
      <c r="B253" s="115">
        <f>IF($B$85="best case",E253,IF($B$85="worst case",D253,"select best or worst case"))</f>
        <v>9.8824000000000005</v>
      </c>
      <c r="C253" s="9" t="s">
        <v>2913</v>
      </c>
      <c r="D253" s="115">
        <f>D243</f>
        <v>2.3120567375886525</v>
      </c>
      <c r="E253" s="115">
        <f>E237*3.6+E238</f>
        <v>9.8824000000000005</v>
      </c>
      <c r="F253" s="9" t="s">
        <v>3067</v>
      </c>
      <c r="G253" s="9">
        <f>A26</f>
        <v>10</v>
      </c>
    </row>
    <row r="254" spans="1:7" x14ac:dyDescent="0.2">
      <c r="A254" s="9" t="s">
        <v>2791</v>
      </c>
      <c r="B254" s="115">
        <f t="shared" si="19"/>
        <v>9.8788</v>
      </c>
      <c r="C254" s="9" t="s">
        <v>2915</v>
      </c>
      <c r="D254" s="115">
        <f>D243</f>
        <v>2.3120567375886525</v>
      </c>
      <c r="E254" s="115">
        <f>E239*3.6+E240</f>
        <v>9.8788</v>
      </c>
      <c r="F254" s="9" t="s">
        <v>3068</v>
      </c>
      <c r="G254" s="9">
        <f>A26</f>
        <v>10</v>
      </c>
    </row>
    <row r="255" spans="1:7" x14ac:dyDescent="0.2">
      <c r="A255" s="9" t="s">
        <v>2792</v>
      </c>
      <c r="B255" s="115">
        <f t="shared" si="19"/>
        <v>9.8824000000000005</v>
      </c>
      <c r="C255" s="9" t="s">
        <v>2917</v>
      </c>
      <c r="D255" s="115">
        <f>D243</f>
        <v>2.3120567375886525</v>
      </c>
      <c r="E255" s="115">
        <f>E241*3.6+E242</f>
        <v>9.8824000000000005</v>
      </c>
      <c r="F255" s="9" t="s">
        <v>3069</v>
      </c>
      <c r="G255" s="9">
        <f>A26</f>
        <v>10</v>
      </c>
    </row>
    <row r="256" spans="1:7" x14ac:dyDescent="0.2">
      <c r="A256" s="112" t="s">
        <v>2832</v>
      </c>
      <c r="B256" s="137">
        <f>IF($B$85="best case",E256,IF($B$85="worst case",D256,"select best or worst case"))</f>
        <v>0.33333333333333331</v>
      </c>
      <c r="C256" s="112" t="s">
        <v>2830</v>
      </c>
      <c r="D256" s="137">
        <f>D244</f>
        <v>0.33333333333333331</v>
      </c>
      <c r="E256" s="137">
        <f>E244</f>
        <v>0.33333333333333331</v>
      </c>
      <c r="F256" s="9" t="s">
        <v>3070</v>
      </c>
      <c r="G256" s="112">
        <f>G244</f>
        <v>5</v>
      </c>
    </row>
    <row r="257" spans="1:7" x14ac:dyDescent="0.2">
      <c r="A257" s="178" t="s">
        <v>2835</v>
      </c>
      <c r="B257" s="179">
        <f>IF($B$85="best case",E257,IF($B$85="worst case",D257,"select best or worst case"))</f>
        <v>0.36000000000000004</v>
      </c>
      <c r="C257" s="178" t="s">
        <v>2830</v>
      </c>
      <c r="D257" s="180">
        <f>(D216+D218+D217)*3.6</f>
        <v>0.36000000000000004</v>
      </c>
      <c r="E257" s="180">
        <f>(E216+E218+E217)*3.6</f>
        <v>0.36000000000000004</v>
      </c>
      <c r="F257" s="178" t="s">
        <v>3066</v>
      </c>
      <c r="G257" s="178">
        <f>G216</f>
        <v>4</v>
      </c>
    </row>
    <row r="258" spans="1:7" x14ac:dyDescent="0.2">
      <c r="A258" s="112" t="s">
        <v>2836</v>
      </c>
      <c r="B258" s="137">
        <f>IF($B$85="best case",E258,IF($B$85="worst case",D258,"select best or worst case"))</f>
        <v>0.59399999999999997</v>
      </c>
      <c r="C258" s="112" t="s">
        <v>2830</v>
      </c>
      <c r="D258" s="137">
        <f>SUM(D216:D219)*3.6</f>
        <v>0.59399999999999997</v>
      </c>
      <c r="E258" s="137">
        <f>SUM(D216:D219)*3.6</f>
        <v>0.59399999999999997</v>
      </c>
      <c r="F258" s="112" t="s">
        <v>3065</v>
      </c>
      <c r="G258" s="112">
        <f>G219</f>
        <v>4</v>
      </c>
    </row>
    <row r="259" spans="1:7" x14ac:dyDescent="0.2">
      <c r="A259" s="181" t="s">
        <v>2880</v>
      </c>
      <c r="D259" s="111"/>
      <c r="E259" s="111"/>
    </row>
    <row r="266" spans="1:7" x14ac:dyDescent="0.2">
      <c r="B266" s="150"/>
    </row>
    <row r="267" spans="1:7" x14ac:dyDescent="0.2">
      <c r="B267" s="149"/>
    </row>
    <row r="268" spans="1:7" x14ac:dyDescent="0.2">
      <c r="B268" s="149"/>
    </row>
  </sheetData>
  <mergeCells count="1">
    <mergeCell ref="B19:L19"/>
  </mergeCells>
  <dataValidations count="1">
    <dataValidation type="list" allowBlank="1" showInputMessage="1" showErrorMessage="1" sqref="B85" xr:uid="{E435903B-97D0-438A-8223-916A41A182BA}">
      <formula1>"best case,worst case"</formula1>
    </dataValidation>
  </dataValidations>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61"/>
  <sheetViews>
    <sheetView zoomScale="63" zoomScaleNormal="70" workbookViewId="0">
      <selection activeCell="B1" sqref="B1:M1"/>
    </sheetView>
  </sheetViews>
  <sheetFormatPr baseColWidth="10" defaultColWidth="9.1640625" defaultRowHeight="15" x14ac:dyDescent="0.2"/>
  <cols>
    <col min="2" max="2" width="21.33203125" bestFit="1" customWidth="1"/>
    <col min="3" max="3" width="11.83203125" bestFit="1" customWidth="1"/>
    <col min="4" max="6" width="12" bestFit="1" customWidth="1"/>
    <col min="7" max="7" width="98.33203125" customWidth="1"/>
    <col min="8" max="8" width="20.5" bestFit="1" customWidth="1"/>
    <col min="9" max="9" width="11.83203125" bestFit="1" customWidth="1"/>
    <col min="10" max="10" width="11" bestFit="1" customWidth="1"/>
    <col min="11" max="11" width="10.33203125" customWidth="1"/>
    <col min="13" max="13" width="88.1640625" bestFit="1" customWidth="1"/>
    <col min="16" max="17" width="11.83203125" bestFit="1" customWidth="1"/>
    <col min="21" max="21" width="74.1640625" bestFit="1" customWidth="1"/>
    <col min="22" max="22" width="13.6640625" bestFit="1" customWidth="1"/>
    <col min="27" max="27" width="63.1640625" customWidth="1"/>
    <col min="31" max="31" width="11" bestFit="1" customWidth="1"/>
    <col min="33" max="33" width="9.83203125" bestFit="1" customWidth="1"/>
    <col min="35" max="35" width="65.33203125" bestFit="1" customWidth="1"/>
    <col min="36" max="36" width="13.6640625" bestFit="1" customWidth="1"/>
    <col min="41" max="41" width="62.33203125" customWidth="1"/>
  </cols>
  <sheetData>
    <row r="1" spans="2:13" ht="26" x14ac:dyDescent="0.3">
      <c r="B1" s="211" t="s">
        <v>2876</v>
      </c>
      <c r="C1" s="211"/>
      <c r="D1" s="211"/>
      <c r="E1" s="211"/>
      <c r="F1" s="211"/>
      <c r="G1" s="211"/>
      <c r="H1" s="211"/>
      <c r="I1" s="211"/>
      <c r="J1" s="211"/>
      <c r="K1" s="211"/>
      <c r="L1" s="211"/>
      <c r="M1" s="211"/>
    </row>
    <row r="2" spans="2:13" ht="17.5" customHeight="1" x14ac:dyDescent="0.3">
      <c r="B2" s="46"/>
      <c r="C2" s="46"/>
      <c r="D2" s="46"/>
      <c r="E2" s="46"/>
      <c r="F2" s="46"/>
      <c r="G2" s="46"/>
      <c r="H2" s="46"/>
      <c r="I2" s="46"/>
      <c r="J2" s="46"/>
      <c r="K2" s="46"/>
      <c r="L2" s="46"/>
      <c r="M2" s="46"/>
    </row>
    <row r="3" spans="2:13" ht="17.25" customHeight="1" x14ac:dyDescent="0.25">
      <c r="B3" s="100" t="s">
        <v>113</v>
      </c>
      <c r="C3" s="212"/>
      <c r="D3" s="212"/>
      <c r="E3" s="212"/>
      <c r="F3" s="212"/>
      <c r="G3" s="212"/>
      <c r="H3" s="212"/>
      <c r="I3" s="212"/>
      <c r="J3" s="212"/>
      <c r="K3" s="212"/>
      <c r="L3" s="212"/>
      <c r="M3" s="212"/>
    </row>
    <row r="4" spans="2:13" x14ac:dyDescent="0.2">
      <c r="B4" s="39">
        <f>'info, structure, parameters'!A17</f>
        <v>1</v>
      </c>
      <c r="C4" s="213" t="str">
        <f>'info, structure, parameters'!B17</f>
        <v>Eriksen, M. K., Damgaard, A., Boldrin, A., and Astrup, T. F. (2019). Quality Assessment and Circularity Potential of Recovery Systems for Household Plastic Waste. Journal of Industrial Ecology, 23(1):156–168.</v>
      </c>
      <c r="D4" s="213"/>
      <c r="E4" s="213"/>
      <c r="F4" s="213"/>
      <c r="G4" s="213"/>
      <c r="H4" s="213"/>
      <c r="I4" s="213"/>
      <c r="J4" s="213"/>
      <c r="K4" s="213"/>
      <c r="L4" s="213"/>
      <c r="M4" s="213"/>
    </row>
    <row r="5" spans="2:13" x14ac:dyDescent="0.2">
      <c r="B5" s="39">
        <f>'info, structure, parameters'!A18</f>
        <v>2</v>
      </c>
      <c r="C5" s="213" t="str">
        <f>'info, structure, parameters'!B18</f>
        <v>Eriksen, M. K., Pivnenko, K., Faraca, G., Boldrin, A., and Astrup, T. F. (2020). Dynamic Material Flow Analysis of PET, PE, and PP Flows in Europe: Evaluation of the Potential for Circular Economy. Environmental Science and Technology, 54(24):16166–16175.</v>
      </c>
      <c r="D5" s="213"/>
      <c r="E5" s="213"/>
      <c r="F5" s="213"/>
      <c r="G5" s="213"/>
      <c r="H5" s="213"/>
      <c r="I5" s="213"/>
      <c r="J5" s="213"/>
      <c r="K5" s="213"/>
      <c r="L5" s="213"/>
      <c r="M5" s="213"/>
    </row>
    <row r="6" spans="2:13" x14ac:dyDescent="0.2">
      <c r="B6" s="39">
        <f>'info, structure, parameters'!A19</f>
        <v>3</v>
      </c>
      <c r="C6" s="213" t="str">
        <f>'info, structure, parameters'!B19</f>
        <v>EASETECH</v>
      </c>
      <c r="D6" s="213"/>
      <c r="E6" s="213"/>
      <c r="F6" s="213"/>
      <c r="G6" s="213"/>
      <c r="H6" s="213"/>
      <c r="I6" s="213"/>
      <c r="J6" s="213"/>
      <c r="K6" s="213"/>
      <c r="L6" s="213"/>
      <c r="M6" s="213"/>
    </row>
    <row r="7" spans="2:13" x14ac:dyDescent="0.2">
      <c r="B7" s="39">
        <f>'info, structure, parameters'!A20</f>
        <v>4</v>
      </c>
      <c r="C7" s="213" t="str">
        <f>'info, structure, parameters'!B20</f>
        <v>Bisinella, V., Hulgaard, T., Riber, C., Damgaard, A., and Christensen, T. H. (2021). Environmental assessment of carbon capture and storage (CCS) as a post-treatment technology in waste incineration. Waste Management, 128:99–113.</v>
      </c>
      <c r="D7" s="213"/>
      <c r="E7" s="213"/>
      <c r="F7" s="213"/>
      <c r="G7" s="213"/>
      <c r="H7" s="213"/>
      <c r="I7" s="213"/>
      <c r="J7" s="213"/>
      <c r="K7" s="213"/>
      <c r="L7" s="213"/>
      <c r="M7" s="213"/>
    </row>
    <row r="8" spans="2:13" x14ac:dyDescent="0.2">
      <c r="B8" s="39">
        <f>'info, structure, parameters'!A21</f>
        <v>5</v>
      </c>
      <c r="C8" s="213" t="str">
        <f>'info, structure, parameters'!B21</f>
        <v>Jeswani, H., Krüger, C., Russ, M., Horlacher, M.,Antony, F., Hann, S., and Azapagic, A. (2021). Life cycle environmental impacts of chemical recycling via pyrolysis of mixed plastic waste in comparison with mechanical recycling and energy recovery. Science of the Total Environment, 769.</v>
      </c>
      <c r="D8" s="213"/>
      <c r="E8" s="213"/>
      <c r="F8" s="213"/>
      <c r="G8" s="213"/>
      <c r="H8" s="213"/>
      <c r="I8" s="213"/>
      <c r="J8" s="213"/>
      <c r="K8" s="213"/>
      <c r="L8" s="213"/>
      <c r="M8" s="213"/>
    </row>
    <row r="9" spans="2:13" x14ac:dyDescent="0.2">
      <c r="B9" s="39">
        <f>'info, structure, parameters'!A22</f>
        <v>6</v>
      </c>
      <c r="C9" s="213" t="str">
        <f>'info, structure, parameters'!B22</f>
        <v>Civancik-Uslu et al. (2021)</v>
      </c>
      <c r="D9" s="213"/>
      <c r="E9" s="213"/>
      <c r="F9" s="213"/>
      <c r="G9" s="213"/>
      <c r="H9" s="213"/>
      <c r="I9" s="213"/>
      <c r="J9" s="213"/>
      <c r="K9" s="213"/>
      <c r="L9" s="213"/>
      <c r="M9" s="213"/>
    </row>
    <row r="10" spans="2:13" x14ac:dyDescent="0.2">
      <c r="B10" s="39">
        <f>'info, structure, parameters'!A23</f>
        <v>7</v>
      </c>
      <c r="C10" s="213" t="str">
        <f>'info, structure, parameters'!B23</f>
        <v>Marie's excel (average)</v>
      </c>
      <c r="D10" s="213"/>
      <c r="E10" s="213"/>
      <c r="F10" s="213"/>
      <c r="G10" s="213"/>
      <c r="H10" s="213"/>
      <c r="I10" s="213"/>
      <c r="J10" s="213"/>
      <c r="K10" s="213"/>
      <c r="L10" s="213"/>
      <c r="M10" s="213"/>
    </row>
    <row r="11" spans="2:13" x14ac:dyDescent="0.2">
      <c r="B11" s="39">
        <f>'info, structure, parameters'!A24</f>
        <v>8</v>
      </c>
      <c r="C11" s="213" t="str">
        <f>'info, structure, parameters'!B24</f>
        <v>Faraca, G., Martinez-Sanchez, V., Astrup, T. F. (2019). Environmental life cycle cost assessment: recycling of hard plastic waste collected at Danish recycling centres. Resources, Conservationand Recycling, 143(October 2018):299–309.</v>
      </c>
      <c r="D11" s="213"/>
      <c r="E11" s="213"/>
      <c r="F11" s="213"/>
      <c r="G11" s="213"/>
      <c r="H11" s="213"/>
      <c r="I11" s="213"/>
      <c r="J11" s="213"/>
      <c r="K11" s="213"/>
      <c r="L11" s="213"/>
      <c r="M11" s="213"/>
    </row>
    <row r="12" spans="2:13" x14ac:dyDescent="0.2">
      <c r="B12" s="39">
        <f>'info, structure, parameters'!A25</f>
        <v>9</v>
      </c>
      <c r="C12" s="213" t="str">
        <f>'info, structure, parameters'!B25</f>
        <v>Civancik-Uslu, D., Nhu, T. T., Van Gorp, B., Kreso-vic, U., Larrain, M., Billen, P., Ragaert, K., DeMeester, S., Dewulf, J., and Huysveld, S. (2021).Moving from linear to circular household plas-tic packaging in Belgium: Prospective life cycleassessment of mechanical and thermochemicalrecycling.Resources, Conservation and Recy-cling, 171(March):105633.</v>
      </c>
      <c r="D12" s="213"/>
      <c r="E12" s="213"/>
      <c r="F12" s="213"/>
      <c r="G12" s="213"/>
      <c r="H12" s="213"/>
      <c r="I12" s="213"/>
      <c r="J12" s="213"/>
      <c r="K12" s="213"/>
      <c r="L12" s="213"/>
      <c r="M12" s="213"/>
    </row>
    <row r="13" spans="2:13" x14ac:dyDescent="0.2">
      <c r="B13" s="39">
        <f>'info, structure, parameters'!A26</f>
        <v>10</v>
      </c>
      <c r="C13" s="213" t="str">
        <f>'info, structure, parameters'!B26</f>
        <v xml:space="preserve">MST/DTU Emballage statistik </v>
      </c>
      <c r="D13" s="213"/>
      <c r="E13" s="213"/>
      <c r="F13" s="213"/>
      <c r="G13" s="213"/>
      <c r="H13" s="213"/>
      <c r="I13" s="213"/>
      <c r="J13" s="213"/>
      <c r="K13" s="213"/>
      <c r="L13" s="213"/>
      <c r="M13" s="213"/>
    </row>
    <row r="14" spans="2:13" x14ac:dyDescent="0.2">
      <c r="B14" s="39">
        <f>'info, structure, parameters'!A27</f>
        <v>11</v>
      </c>
      <c r="C14" s="213" t="str">
        <f>'info, structure, parameters'!B27</f>
        <v xml:space="preserve">Shen,  L.,  Worrell,  E.,  and  Patel,  M.  K.  (2010). Open-loop  recycling:   A  LCA  case  study  ofPET bottle-to-fibre recycling. Resources, Conservation  and  Recycling, </v>
      </c>
      <c r="D14" s="213"/>
      <c r="E14" s="213"/>
      <c r="F14" s="213"/>
      <c r="G14" s="213"/>
      <c r="H14" s="213"/>
      <c r="I14" s="213"/>
      <c r="J14" s="213"/>
      <c r="K14" s="213"/>
      <c r="L14" s="213"/>
      <c r="M14" s="213"/>
    </row>
    <row r="15" spans="2:13" x14ac:dyDescent="0.2">
      <c r="B15" s="39"/>
      <c r="C15" s="39"/>
      <c r="D15" s="39"/>
      <c r="E15" s="39"/>
      <c r="F15" s="39"/>
      <c r="G15" s="39"/>
      <c r="H15" s="39"/>
      <c r="I15" s="39"/>
      <c r="J15" s="39"/>
      <c r="K15" s="39"/>
      <c r="L15" s="39"/>
      <c r="M15" s="39"/>
    </row>
    <row r="16" spans="2:13" ht="21" x14ac:dyDescent="0.25">
      <c r="B16" s="59" t="s">
        <v>2660</v>
      </c>
      <c r="C16" s="39"/>
      <c r="D16" s="39"/>
      <c r="E16" s="39"/>
      <c r="F16" s="39"/>
      <c r="G16" s="39"/>
      <c r="H16" s="39"/>
      <c r="I16" s="39"/>
      <c r="J16" s="39"/>
      <c r="K16" s="39"/>
      <c r="L16" s="39"/>
      <c r="M16" s="39"/>
    </row>
    <row r="17" spans="1:14" x14ac:dyDescent="0.2">
      <c r="B17" s="39"/>
      <c r="C17" s="39"/>
      <c r="D17" s="39"/>
      <c r="E17" s="39"/>
      <c r="F17" s="39"/>
      <c r="G17" s="39"/>
      <c r="H17" s="39"/>
      <c r="I17" s="39"/>
      <c r="J17" s="39"/>
      <c r="K17" s="39"/>
      <c r="L17" s="39"/>
      <c r="M17" s="39"/>
    </row>
    <row r="18" spans="1:14" x14ac:dyDescent="0.2">
      <c r="B18" s="39"/>
      <c r="C18" s="39"/>
      <c r="D18" s="39"/>
      <c r="E18" s="39"/>
      <c r="F18" s="39"/>
      <c r="G18" s="39"/>
      <c r="H18" s="39"/>
      <c r="I18" s="39"/>
      <c r="J18" s="39"/>
      <c r="K18" s="39"/>
      <c r="L18" s="39"/>
      <c r="M18" s="39"/>
    </row>
    <row r="19" spans="1:14" x14ac:dyDescent="0.2">
      <c r="B19" s="39"/>
      <c r="C19" s="39"/>
      <c r="D19" s="39"/>
      <c r="E19" s="39"/>
      <c r="F19" s="39"/>
      <c r="G19" s="39"/>
      <c r="H19" s="39"/>
      <c r="I19" s="39"/>
      <c r="J19" s="39"/>
      <c r="K19" s="39"/>
      <c r="L19" s="39"/>
      <c r="M19" s="39"/>
    </row>
    <row r="20" spans="1:14" x14ac:dyDescent="0.2">
      <c r="B20" s="39"/>
      <c r="C20" s="39"/>
      <c r="D20" s="39"/>
      <c r="E20" s="39"/>
      <c r="F20" s="39"/>
      <c r="G20" s="39"/>
      <c r="H20" s="39"/>
      <c r="I20" s="39"/>
      <c r="J20" s="39"/>
      <c r="K20" s="39"/>
      <c r="L20" s="39"/>
      <c r="M20" s="39"/>
    </row>
    <row r="21" spans="1:14" x14ac:dyDescent="0.2">
      <c r="B21" s="39"/>
      <c r="C21" s="39"/>
      <c r="D21" s="39"/>
      <c r="E21" s="39"/>
      <c r="F21" s="39"/>
      <c r="G21" s="39"/>
      <c r="H21" s="39"/>
      <c r="I21" s="39"/>
      <c r="J21" s="39"/>
      <c r="K21" s="39"/>
      <c r="L21" s="39"/>
      <c r="M21" s="39"/>
    </row>
    <row r="22" spans="1:14" x14ac:dyDescent="0.2">
      <c r="B22" s="39"/>
      <c r="C22" s="39"/>
      <c r="D22" s="39"/>
      <c r="E22" s="39"/>
      <c r="F22" s="39"/>
      <c r="G22" s="39"/>
      <c r="H22" s="39"/>
      <c r="I22" s="39"/>
      <c r="J22" s="39"/>
      <c r="K22" s="39"/>
      <c r="L22" s="39"/>
      <c r="M22" s="39"/>
    </row>
    <row r="23" spans="1:14" x14ac:dyDescent="0.2">
      <c r="B23" s="39"/>
      <c r="C23" s="39"/>
      <c r="D23" s="39"/>
      <c r="E23" s="39"/>
      <c r="F23" s="39"/>
      <c r="G23" s="39"/>
      <c r="H23" s="39"/>
      <c r="I23" s="39"/>
      <c r="J23" s="39"/>
      <c r="K23" s="39"/>
      <c r="L23" s="39"/>
      <c r="M23" s="39"/>
    </row>
    <row r="24" spans="1:14" x14ac:dyDescent="0.2">
      <c r="B24" s="39"/>
      <c r="C24" s="39"/>
      <c r="D24" s="39"/>
      <c r="E24" s="39"/>
      <c r="F24" s="39"/>
      <c r="G24" s="39"/>
      <c r="H24" s="39"/>
      <c r="I24" s="39"/>
      <c r="J24" s="39"/>
      <c r="K24" s="39"/>
      <c r="L24" s="39"/>
      <c r="M24" s="39"/>
    </row>
    <row r="25" spans="1:14" x14ac:dyDescent="0.2">
      <c r="B25" s="39"/>
      <c r="C25" s="39"/>
      <c r="D25" s="39"/>
      <c r="E25" s="39"/>
      <c r="F25" s="39"/>
      <c r="G25" s="39"/>
      <c r="H25" s="39"/>
      <c r="I25" s="39"/>
      <c r="J25" s="39"/>
      <c r="K25" s="39"/>
      <c r="L25" s="39"/>
      <c r="M25" s="39"/>
    </row>
    <row r="27" spans="1:14" x14ac:dyDescent="0.2">
      <c r="A27" s="76"/>
      <c r="B27" s="76"/>
      <c r="C27" s="76"/>
      <c r="D27" s="76"/>
      <c r="E27" s="76"/>
      <c r="F27" s="76"/>
      <c r="G27" s="76"/>
      <c r="H27" s="76"/>
      <c r="I27" s="76"/>
      <c r="J27" s="76"/>
      <c r="K27" s="76"/>
      <c r="L27" s="76"/>
      <c r="M27" s="76"/>
      <c r="N27" s="76"/>
    </row>
    <row r="28" spans="1:14" s="78" customFormat="1" ht="26" x14ac:dyDescent="0.3">
      <c r="A28" s="47"/>
      <c r="B28" s="215" t="s">
        <v>98</v>
      </c>
      <c r="C28" s="215"/>
      <c r="D28" s="215"/>
      <c r="E28" s="215"/>
      <c r="F28" s="215"/>
      <c r="G28" s="215"/>
      <c r="H28" s="215"/>
      <c r="I28" s="215"/>
      <c r="J28" s="215"/>
      <c r="K28" s="215"/>
      <c r="L28" s="215"/>
      <c r="M28" s="215"/>
      <c r="N28" s="48"/>
    </row>
    <row r="29" spans="1:14" x14ac:dyDescent="0.2">
      <c r="A29" s="12"/>
      <c r="B29" s="222"/>
      <c r="C29" s="222"/>
      <c r="D29" s="222"/>
      <c r="E29" s="222"/>
      <c r="F29" s="222"/>
      <c r="G29" s="222"/>
      <c r="H29" s="222"/>
      <c r="I29" s="11"/>
      <c r="J29" s="11"/>
      <c r="K29" s="11"/>
      <c r="L29" s="11"/>
      <c r="M29" s="11"/>
      <c r="N29" s="12"/>
    </row>
    <row r="30" spans="1:14" ht="25" customHeight="1" x14ac:dyDescent="0.2">
      <c r="A30" s="12"/>
      <c r="B30" s="214" t="s">
        <v>1</v>
      </c>
      <c r="C30" s="214"/>
      <c r="D30" s="214"/>
      <c r="E30" s="214"/>
      <c r="F30" s="214"/>
      <c r="G30" s="214"/>
      <c r="H30" s="11"/>
      <c r="I30" s="11"/>
      <c r="J30" s="11"/>
      <c r="K30" s="11"/>
      <c r="L30" s="11"/>
      <c r="M30" s="11"/>
      <c r="N30" s="12"/>
    </row>
    <row r="31" spans="1:14" x14ac:dyDescent="0.2">
      <c r="A31" s="12"/>
      <c r="B31" s="114" t="s">
        <v>2</v>
      </c>
      <c r="C31" s="114" t="s">
        <v>144</v>
      </c>
      <c r="D31" s="114" t="s">
        <v>4</v>
      </c>
      <c r="E31" s="114" t="s">
        <v>7</v>
      </c>
      <c r="F31" s="114" t="s">
        <v>112</v>
      </c>
      <c r="G31" s="106"/>
      <c r="H31" s="12"/>
      <c r="I31" s="12"/>
      <c r="J31" s="12"/>
      <c r="K31" s="12"/>
      <c r="L31" s="12"/>
      <c r="M31" s="12"/>
      <c r="N31" s="12"/>
    </row>
    <row r="32" spans="1:14" x14ac:dyDescent="0.2">
      <c r="A32" s="12"/>
      <c r="B32" s="106" t="str">
        <f>'info, structure, parameters'!A91</f>
        <v>Total_WG</v>
      </c>
      <c r="C32" s="106">
        <f>'info, structure, parameters'!B91</f>
        <v>1000</v>
      </c>
      <c r="D32" s="106" t="str">
        <f>'info, structure, parameters'!C91</f>
        <v>kg ww</v>
      </c>
      <c r="E32" s="106" t="str">
        <f>'info, structure, parameters'!D91</f>
        <v xml:space="preserve">Total waste generation </v>
      </c>
      <c r="F32" s="106" t="str">
        <f>'info, structure, parameters'!E91</f>
        <v xml:space="preserve"> </v>
      </c>
      <c r="G32" s="106"/>
      <c r="H32" s="12"/>
      <c r="I32" s="12"/>
      <c r="J32" s="12"/>
      <c r="K32" s="12"/>
      <c r="L32" s="12"/>
      <c r="M32" s="12"/>
      <c r="N32" s="12"/>
    </row>
    <row r="33" spans="1:14" x14ac:dyDescent="0.2">
      <c r="A33" s="12"/>
      <c r="B33" s="106" t="str">
        <f>'info, structure, parameters'!A92</f>
        <v xml:space="preserve">Plastic_fraction </v>
      </c>
      <c r="C33" s="106">
        <f>'info, structure, parameters'!B92</f>
        <v>1</v>
      </c>
      <c r="D33" s="106" t="str">
        <f>'info, structure, parameters'!C92</f>
        <v>%ww</v>
      </c>
      <c r="E33" s="106" t="str">
        <f>'info, structure, parameters'!D92</f>
        <v>Share of plastic in the generated waste</v>
      </c>
      <c r="F33" s="106" t="str">
        <f>'info, structure, parameters'!E92</f>
        <v xml:space="preserve"> </v>
      </c>
      <c r="G33" s="106"/>
      <c r="H33" s="12"/>
      <c r="I33" s="12"/>
      <c r="J33" s="12"/>
      <c r="K33" s="12"/>
      <c r="L33" s="12"/>
      <c r="M33" s="12"/>
      <c r="N33" s="12"/>
    </row>
    <row r="34" spans="1:14" x14ac:dyDescent="0.2">
      <c r="A34" s="12"/>
      <c r="B34" s="106" t="str">
        <f>'info, structure, parameters'!A93</f>
        <v xml:space="preserve">Plastic_fraction_bottle </v>
      </c>
      <c r="C34" s="106">
        <f>'info, structure, parameters'!B93</f>
        <v>0.3</v>
      </c>
      <c r="D34" s="106" t="str">
        <f>'info, structure, parameters'!C93</f>
        <v>%ww</v>
      </c>
      <c r="E34" s="106" t="str">
        <f>'info, structure, parameters'!D93</f>
        <v xml:space="preserve">The bottle share of the plastic fraction </v>
      </c>
      <c r="F34" s="106">
        <f>'info, structure, parameters'!E93</f>
        <v>1</v>
      </c>
      <c r="G34" s="106"/>
      <c r="H34" s="12"/>
      <c r="I34" s="12"/>
      <c r="J34" s="12"/>
      <c r="K34" s="12"/>
      <c r="L34" s="12"/>
      <c r="M34" s="12"/>
      <c r="N34" s="12"/>
    </row>
    <row r="35" spans="1:14" x14ac:dyDescent="0.2">
      <c r="A35" s="12"/>
      <c r="B35" s="106" t="str">
        <f>'info, structure, parameters'!A94</f>
        <v xml:space="preserve">Plastic_fraction_rigid </v>
      </c>
      <c r="C35" s="106">
        <f>'info, structure, parameters'!B94</f>
        <v>0.2</v>
      </c>
      <c r="D35" s="106" t="str">
        <f>'info, structure, parameters'!C94</f>
        <v>%ww</v>
      </c>
      <c r="E35" s="106" t="str">
        <f>'info, structure, parameters'!D94</f>
        <v>The rigid share of the plastic fraction</v>
      </c>
      <c r="F35" s="106">
        <f>'info, structure, parameters'!E94</f>
        <v>1</v>
      </c>
      <c r="G35" s="106"/>
      <c r="H35" s="12"/>
      <c r="I35" s="12"/>
      <c r="J35" s="12"/>
      <c r="K35" s="12"/>
      <c r="L35" s="12"/>
      <c r="M35" s="12"/>
      <c r="N35" s="12"/>
    </row>
    <row r="36" spans="1:14" x14ac:dyDescent="0.2">
      <c r="A36" s="12"/>
      <c r="B36" s="106" t="str">
        <f>'info, structure, parameters'!A95</f>
        <v xml:space="preserve">Plastic_fraction_soft </v>
      </c>
      <c r="C36" s="106">
        <f>'info, structure, parameters'!B95</f>
        <v>0.4</v>
      </c>
      <c r="D36" s="106" t="str">
        <f>'info, structure, parameters'!C95</f>
        <v>%ww</v>
      </c>
      <c r="E36" s="106" t="str">
        <f>'info, structure, parameters'!D95</f>
        <v>The soft share of the plastic fraction</v>
      </c>
      <c r="F36" s="106">
        <f>'info, structure, parameters'!E95</f>
        <v>1</v>
      </c>
      <c r="G36" s="106"/>
      <c r="H36" s="12"/>
      <c r="I36" s="12"/>
      <c r="J36" s="12"/>
      <c r="K36" s="12"/>
      <c r="L36" s="12"/>
      <c r="M36" s="12"/>
      <c r="N36" s="12"/>
    </row>
    <row r="37" spans="1:14" x14ac:dyDescent="0.2">
      <c r="A37" s="12"/>
      <c r="B37" s="106" t="str">
        <f>'info, structure, parameters'!A96</f>
        <v xml:space="preserve">Plastic_fraction_other </v>
      </c>
      <c r="C37" s="106">
        <f>'info, structure, parameters'!B96</f>
        <v>9.9999999999999922E-2</v>
      </c>
      <c r="D37" s="106" t="str">
        <f>'info, structure, parameters'!C96</f>
        <v>%ww</v>
      </c>
      <c r="E37" s="106" t="str">
        <f>'info, structure, parameters'!D96</f>
        <v>The other share of the plastic fraction</v>
      </c>
      <c r="F37" s="106">
        <f>'info, structure, parameters'!E96</f>
        <v>1</v>
      </c>
      <c r="G37" s="106"/>
      <c r="H37" s="12"/>
      <c r="I37" s="12"/>
      <c r="J37" s="12"/>
      <c r="K37" s="12"/>
      <c r="L37" s="12"/>
      <c r="M37" s="12"/>
      <c r="N37" s="12"/>
    </row>
    <row r="38" spans="1:14" x14ac:dyDescent="0.2">
      <c r="A38" s="12"/>
      <c r="B38" s="106" t="str">
        <f>'info, structure, parameters'!A97</f>
        <v xml:space="preserve">bottle_PET </v>
      </c>
      <c r="C38" s="106">
        <f>'info, structure, parameters'!B97</f>
        <v>0.23</v>
      </c>
      <c r="D38" s="106" t="str">
        <f>'info, structure, parameters'!C97</f>
        <v>%ww</v>
      </c>
      <c r="E38" s="106" t="str">
        <f>'info, structure, parameters'!D97</f>
        <v>The PET share of the bottle fraction</v>
      </c>
      <c r="F38" s="106">
        <f>'info, structure, parameters'!E97</f>
        <v>1</v>
      </c>
      <c r="G38" s="106"/>
      <c r="H38" s="12"/>
      <c r="I38" s="12"/>
      <c r="J38" s="12"/>
      <c r="K38" s="12"/>
      <c r="L38" s="12"/>
      <c r="M38" s="12"/>
      <c r="N38" s="12"/>
    </row>
    <row r="39" spans="1:14" x14ac:dyDescent="0.2">
      <c r="A39" s="12"/>
      <c r="B39" s="106" t="str">
        <f>'info, structure, parameters'!A98</f>
        <v xml:space="preserve">bottle_PE </v>
      </c>
      <c r="C39" s="106">
        <f>'info, structure, parameters'!B98</f>
        <v>7.0000000000000007E-2</v>
      </c>
      <c r="D39" s="106" t="str">
        <f>'info, structure, parameters'!C98</f>
        <v>%ww</v>
      </c>
      <c r="E39" s="106" t="str">
        <f>'info, structure, parameters'!D98</f>
        <v>The PE share of the bottle fraction</v>
      </c>
      <c r="F39" s="106">
        <f>'info, structure, parameters'!E98</f>
        <v>1</v>
      </c>
      <c r="G39" s="106"/>
      <c r="H39" s="12"/>
      <c r="I39" s="12"/>
      <c r="J39" s="12"/>
      <c r="K39" s="12"/>
      <c r="L39" s="12"/>
      <c r="M39" s="12"/>
      <c r="N39" s="12"/>
    </row>
    <row r="40" spans="1:14" x14ac:dyDescent="0.2">
      <c r="A40" s="12"/>
      <c r="B40" s="106" t="str">
        <f>'info, structure, parameters'!A99</f>
        <v xml:space="preserve">bottle_PP </v>
      </c>
      <c r="C40" s="106">
        <f>'info, structure, parameters'!B99</f>
        <v>0</v>
      </c>
      <c r="D40" s="106" t="str">
        <f>'info, structure, parameters'!C99</f>
        <v>%ww</v>
      </c>
      <c r="E40" s="106" t="str">
        <f>'info, structure, parameters'!D99</f>
        <v>The PP share of the bottle fraction</v>
      </c>
      <c r="F40" s="106">
        <f>'info, structure, parameters'!E99</f>
        <v>1</v>
      </c>
      <c r="G40" s="106"/>
      <c r="H40" s="12"/>
      <c r="I40" s="12"/>
      <c r="J40" s="12"/>
      <c r="K40" s="12"/>
      <c r="L40" s="12"/>
      <c r="M40" s="12"/>
      <c r="N40" s="12"/>
    </row>
    <row r="41" spans="1:14" x14ac:dyDescent="0.2">
      <c r="A41" s="12"/>
      <c r="B41" s="106" t="str">
        <f>'info, structure, parameters'!A100</f>
        <v xml:space="preserve">bottle_PS </v>
      </c>
      <c r="C41" s="106">
        <f>'info, structure, parameters'!B100</f>
        <v>0</v>
      </c>
      <c r="D41" s="106" t="str">
        <f>'info, structure, parameters'!C100</f>
        <v>%ww</v>
      </c>
      <c r="E41" s="106" t="str">
        <f>'info, structure, parameters'!D100</f>
        <v>The PS share of the bottle fraction</v>
      </c>
      <c r="F41" s="106">
        <f>'info, structure, parameters'!E100</f>
        <v>1</v>
      </c>
      <c r="G41" s="106"/>
      <c r="H41" s="12"/>
      <c r="I41" s="12"/>
      <c r="J41" s="12"/>
      <c r="K41" s="12"/>
      <c r="L41" s="12"/>
      <c r="M41" s="12"/>
      <c r="N41" s="12"/>
    </row>
    <row r="42" spans="1:14" x14ac:dyDescent="0.2">
      <c r="A42" s="12"/>
      <c r="B42" s="106" t="str">
        <f>'info, structure, parameters'!A101</f>
        <v xml:space="preserve">bottle_Oth </v>
      </c>
      <c r="C42" s="106">
        <f>'info, structure, parameters'!B101</f>
        <v>0</v>
      </c>
      <c r="D42" s="106" t="str">
        <f>'info, structure, parameters'!C101</f>
        <v>%ww</v>
      </c>
      <c r="E42" s="106" t="str">
        <f>'info, structure, parameters'!D101</f>
        <v>The Other share of the bottle fraction</v>
      </c>
      <c r="F42" s="106">
        <f>'info, structure, parameters'!E101</f>
        <v>1</v>
      </c>
      <c r="G42" s="106"/>
      <c r="H42" s="12"/>
      <c r="I42" s="12"/>
      <c r="J42" s="12"/>
      <c r="K42" s="12"/>
      <c r="L42" s="12"/>
      <c r="M42" s="12"/>
      <c r="N42" s="12"/>
    </row>
    <row r="43" spans="1:14" x14ac:dyDescent="0.2">
      <c r="A43" s="12"/>
      <c r="B43" s="106" t="str">
        <f>'info, structure, parameters'!A102</f>
        <v xml:space="preserve">rigid_PET </v>
      </c>
      <c r="C43" s="106">
        <f>'info, structure, parameters'!B102</f>
        <v>0.04</v>
      </c>
      <c r="D43" s="106" t="str">
        <f>'info, structure, parameters'!C102</f>
        <v>%ww</v>
      </c>
      <c r="E43" s="106" t="str">
        <f>'info, structure, parameters'!D102</f>
        <v>The PET share of the rigid fraction</v>
      </c>
      <c r="F43" s="106">
        <f>'info, structure, parameters'!E102</f>
        <v>1</v>
      </c>
      <c r="G43" s="106"/>
      <c r="H43" s="12"/>
      <c r="I43" s="12"/>
      <c r="J43" s="12"/>
      <c r="K43" s="12"/>
      <c r="L43" s="12"/>
      <c r="M43" s="12"/>
      <c r="N43" s="12"/>
    </row>
    <row r="44" spans="1:14" x14ac:dyDescent="0.2">
      <c r="A44" s="12"/>
      <c r="B44" s="106" t="str">
        <f>'info, structure, parameters'!A103</f>
        <v xml:space="preserve">rigid_PE </v>
      </c>
      <c r="C44" s="106">
        <f>'info, structure, parameters'!B103</f>
        <v>0.03</v>
      </c>
      <c r="D44" s="106" t="str">
        <f>'info, structure, parameters'!C103</f>
        <v>%ww</v>
      </c>
      <c r="E44" s="106" t="str">
        <f>'info, structure, parameters'!D103</f>
        <v>The PE share of the rigid fraction</v>
      </c>
      <c r="F44" s="106">
        <f>'info, structure, parameters'!E103</f>
        <v>1</v>
      </c>
      <c r="G44" s="106"/>
      <c r="H44" s="12"/>
      <c r="I44" s="12"/>
      <c r="J44" s="12"/>
      <c r="K44" s="12"/>
      <c r="L44" s="12"/>
      <c r="M44" s="12"/>
      <c r="N44" s="12"/>
    </row>
    <row r="45" spans="1:14" x14ac:dyDescent="0.2">
      <c r="A45" s="12"/>
      <c r="B45" s="106" t="str">
        <f>'info, structure, parameters'!A104</f>
        <v xml:space="preserve">rigid_PP </v>
      </c>
      <c r="C45" s="106">
        <f>'info, structure, parameters'!B104</f>
        <v>7.0000000000000007E-2</v>
      </c>
      <c r="D45" s="106" t="str">
        <f>'info, structure, parameters'!C104</f>
        <v>%ww</v>
      </c>
      <c r="E45" s="106" t="str">
        <f>'info, structure, parameters'!D104</f>
        <v>The PP share of the rigid fraction</v>
      </c>
      <c r="F45" s="106">
        <f>'info, structure, parameters'!E104</f>
        <v>1</v>
      </c>
      <c r="G45" s="106"/>
      <c r="H45" s="12"/>
      <c r="I45" s="12"/>
      <c r="J45" s="12"/>
      <c r="K45" s="12"/>
      <c r="L45" s="12"/>
      <c r="M45" s="12"/>
      <c r="N45" s="12"/>
    </row>
    <row r="46" spans="1:14" x14ac:dyDescent="0.2">
      <c r="A46" s="12"/>
      <c r="B46" s="106" t="str">
        <f>'info, structure, parameters'!A105</f>
        <v xml:space="preserve">rigid_PS </v>
      </c>
      <c r="C46" s="106">
        <f>'info, structure, parameters'!B105</f>
        <v>0.01</v>
      </c>
      <c r="D46" s="106" t="str">
        <f>'info, structure, parameters'!C105</f>
        <v>%ww</v>
      </c>
      <c r="E46" s="106" t="str">
        <f>'info, structure, parameters'!D105</f>
        <v>The PS share of the rigid fraction</v>
      </c>
      <c r="F46" s="106">
        <f>'info, structure, parameters'!E105</f>
        <v>1</v>
      </c>
      <c r="G46" s="106"/>
      <c r="H46" s="12"/>
      <c r="I46" s="12"/>
      <c r="J46" s="12"/>
      <c r="K46" s="12"/>
      <c r="L46" s="12"/>
      <c r="M46" s="12"/>
      <c r="N46" s="12"/>
    </row>
    <row r="47" spans="1:14" x14ac:dyDescent="0.2">
      <c r="A47" s="12"/>
      <c r="B47" s="106" t="str">
        <f>'info, structure, parameters'!A106</f>
        <v xml:space="preserve">rigid_Oth </v>
      </c>
      <c r="C47" s="106">
        <f>'info, structure, parameters'!B106</f>
        <v>4.9999999999999989E-2</v>
      </c>
      <c r="D47" s="106" t="str">
        <f>'info, structure, parameters'!C106</f>
        <v>%ww</v>
      </c>
      <c r="E47" s="106" t="str">
        <f>'info, structure, parameters'!D106</f>
        <v>The Other share of the rigid fraction</v>
      </c>
      <c r="F47" s="106">
        <f>'info, structure, parameters'!E106</f>
        <v>1</v>
      </c>
      <c r="G47" s="106"/>
      <c r="H47" s="12"/>
      <c r="I47" s="12"/>
      <c r="J47" s="12"/>
      <c r="K47" s="12"/>
      <c r="L47" s="12"/>
      <c r="M47" s="12"/>
      <c r="N47" s="12"/>
    </row>
    <row r="48" spans="1:14" x14ac:dyDescent="0.2">
      <c r="A48" s="12"/>
      <c r="B48" s="106" t="str">
        <f>'info, structure, parameters'!A107</f>
        <v xml:space="preserve">soft_PET </v>
      </c>
      <c r="C48" s="106">
        <f>'info, structure, parameters'!B107</f>
        <v>0</v>
      </c>
      <c r="D48" s="106" t="str">
        <f>'info, structure, parameters'!C107</f>
        <v>%ww</v>
      </c>
      <c r="E48" s="106" t="str">
        <f>'info, structure, parameters'!D107</f>
        <v>The PET share of the soft fraction</v>
      </c>
      <c r="F48" s="106">
        <f>'info, structure, parameters'!E107</f>
        <v>1</v>
      </c>
      <c r="G48" s="106"/>
      <c r="H48" s="12"/>
      <c r="I48" s="12"/>
      <c r="J48" s="12"/>
      <c r="K48" s="12"/>
      <c r="L48" s="12"/>
      <c r="M48" s="12"/>
      <c r="N48" s="12"/>
    </row>
    <row r="49" spans="1:14" x14ac:dyDescent="0.2">
      <c r="A49" s="12"/>
      <c r="B49" s="106" t="str">
        <f>'info, structure, parameters'!A108</f>
        <v xml:space="preserve">soft_PE </v>
      </c>
      <c r="C49" s="106">
        <f>'info, structure, parameters'!B108</f>
        <v>0.3</v>
      </c>
      <c r="D49" s="106" t="str">
        <f>'info, structure, parameters'!C108</f>
        <v>%ww</v>
      </c>
      <c r="E49" s="106" t="str">
        <f>'info, structure, parameters'!D108</f>
        <v>The PE share of the soft fraction</v>
      </c>
      <c r="F49" s="106">
        <f>'info, structure, parameters'!E108</f>
        <v>1</v>
      </c>
      <c r="G49" s="106"/>
      <c r="H49" s="12"/>
      <c r="I49" s="12"/>
      <c r="J49" s="12"/>
      <c r="K49" s="12"/>
      <c r="L49" s="12"/>
      <c r="M49" s="12"/>
      <c r="N49" s="12"/>
    </row>
    <row r="50" spans="1:14" x14ac:dyDescent="0.2">
      <c r="A50" s="12"/>
      <c r="B50" s="106" t="str">
        <f>'info, structure, parameters'!A109</f>
        <v xml:space="preserve">soft_PP </v>
      </c>
      <c r="C50" s="106">
        <f>'info, structure, parameters'!B109</f>
        <v>0</v>
      </c>
      <c r="D50" s="106" t="str">
        <f>'info, structure, parameters'!C109</f>
        <v>%ww</v>
      </c>
      <c r="E50" s="106" t="str">
        <f>'info, structure, parameters'!D109</f>
        <v>The PP share of the soft fraction</v>
      </c>
      <c r="F50" s="106">
        <f>'info, structure, parameters'!E109</f>
        <v>1</v>
      </c>
      <c r="G50" s="106"/>
      <c r="H50" s="12"/>
      <c r="I50" s="12"/>
      <c r="J50" s="12"/>
      <c r="K50" s="12"/>
      <c r="L50" s="12"/>
      <c r="M50" s="12"/>
      <c r="N50" s="12"/>
    </row>
    <row r="51" spans="1:14" x14ac:dyDescent="0.2">
      <c r="A51" s="12"/>
      <c r="B51" s="106" t="str">
        <f>'info, structure, parameters'!A110</f>
        <v xml:space="preserve">soft_PS </v>
      </c>
      <c r="C51" s="106">
        <f>'info, structure, parameters'!B110</f>
        <v>0</v>
      </c>
      <c r="D51" s="106" t="str">
        <f>'info, structure, parameters'!C110</f>
        <v>%ww</v>
      </c>
      <c r="E51" s="106" t="str">
        <f>'info, structure, parameters'!D110</f>
        <v>The PS share of the soft fraction</v>
      </c>
      <c r="F51" s="106">
        <f>'info, structure, parameters'!E110</f>
        <v>1</v>
      </c>
      <c r="G51" s="106"/>
      <c r="H51" s="12"/>
      <c r="I51" s="12"/>
      <c r="J51" s="12"/>
      <c r="K51" s="12"/>
      <c r="L51" s="12"/>
      <c r="M51" s="12"/>
      <c r="N51" s="12"/>
    </row>
    <row r="52" spans="1:14" x14ac:dyDescent="0.2">
      <c r="A52" s="12"/>
      <c r="B52" s="106" t="str">
        <f>'info, structure, parameters'!A111</f>
        <v xml:space="preserve">soft_Oth </v>
      </c>
      <c r="C52" s="106">
        <f>'info, structure, parameters'!B111</f>
        <v>0.10000000000000003</v>
      </c>
      <c r="D52" s="106" t="str">
        <f>'info, structure, parameters'!C111</f>
        <v>%ww</v>
      </c>
      <c r="E52" s="106" t="str">
        <f>'info, structure, parameters'!D111</f>
        <v>The Other share of the soft fraction</v>
      </c>
      <c r="F52" s="106">
        <f>'info, structure, parameters'!E111</f>
        <v>1</v>
      </c>
      <c r="G52" s="106"/>
      <c r="H52" s="12"/>
      <c r="I52" s="12"/>
      <c r="J52" s="12"/>
      <c r="K52" s="12"/>
      <c r="L52" s="12"/>
      <c r="M52" s="12"/>
      <c r="N52" s="12"/>
    </row>
    <row r="53" spans="1:14" x14ac:dyDescent="0.2">
      <c r="A53" s="12"/>
      <c r="B53" s="106" t="str">
        <f>'info, structure, parameters'!A112</f>
        <v xml:space="preserve">other_PET </v>
      </c>
      <c r="C53" s="106">
        <f>'info, structure, parameters'!B112</f>
        <v>0</v>
      </c>
      <c r="D53" s="106" t="str">
        <f>'info, structure, parameters'!C112</f>
        <v>%ww</v>
      </c>
      <c r="E53" s="106" t="str">
        <f>'info, structure, parameters'!D112</f>
        <v>The PET share of the other fraction</v>
      </c>
      <c r="F53" s="106">
        <f>'info, structure, parameters'!E112</f>
        <v>1</v>
      </c>
      <c r="G53" s="106"/>
      <c r="H53" s="12"/>
      <c r="I53" s="12"/>
      <c r="J53" s="12"/>
      <c r="K53" s="12"/>
      <c r="L53" s="12"/>
      <c r="M53" s="12"/>
      <c r="N53" s="12"/>
    </row>
    <row r="54" spans="1:14" x14ac:dyDescent="0.2">
      <c r="A54" s="12"/>
      <c r="B54" s="106" t="str">
        <f>'info, structure, parameters'!A113</f>
        <v xml:space="preserve">other_PE </v>
      </c>
      <c r="C54" s="106">
        <f>'info, structure, parameters'!B113</f>
        <v>0</v>
      </c>
      <c r="D54" s="106" t="str">
        <f>'info, structure, parameters'!C113</f>
        <v>%ww</v>
      </c>
      <c r="E54" s="106" t="str">
        <f>'info, structure, parameters'!D113</f>
        <v>The PE share of the other fraction</v>
      </c>
      <c r="F54" s="106">
        <f>'info, structure, parameters'!E113</f>
        <v>1</v>
      </c>
      <c r="G54" s="106"/>
      <c r="H54" s="12"/>
      <c r="I54" s="12"/>
      <c r="J54" s="12"/>
      <c r="K54" s="12"/>
      <c r="L54" s="12"/>
      <c r="M54" s="12"/>
      <c r="N54" s="12"/>
    </row>
    <row r="55" spans="1:14" x14ac:dyDescent="0.2">
      <c r="A55" s="12"/>
      <c r="B55" s="106" t="str">
        <f>'info, structure, parameters'!A114</f>
        <v xml:space="preserve">other_PP </v>
      </c>
      <c r="C55" s="106">
        <f>'info, structure, parameters'!B114</f>
        <v>0</v>
      </c>
      <c r="D55" s="106" t="str">
        <f>'info, structure, parameters'!C114</f>
        <v>%ww</v>
      </c>
      <c r="E55" s="106" t="str">
        <f>'info, structure, parameters'!D114</f>
        <v>The PP share of the other fraction</v>
      </c>
      <c r="F55" s="106">
        <f>'info, structure, parameters'!E114</f>
        <v>1</v>
      </c>
      <c r="G55" s="106"/>
      <c r="H55" s="12"/>
      <c r="I55" s="12"/>
      <c r="J55" s="12"/>
      <c r="K55" s="12"/>
      <c r="L55" s="12"/>
      <c r="M55" s="12"/>
      <c r="N55" s="12"/>
    </row>
    <row r="56" spans="1:14" x14ac:dyDescent="0.2">
      <c r="A56" s="12"/>
      <c r="B56" s="106" t="str">
        <f>'info, structure, parameters'!A115</f>
        <v xml:space="preserve">other_PS </v>
      </c>
      <c r="C56" s="106">
        <f>'info, structure, parameters'!B115</f>
        <v>0</v>
      </c>
      <c r="D56" s="106" t="str">
        <f>'info, structure, parameters'!C115</f>
        <v>%ww</v>
      </c>
      <c r="E56" s="106" t="str">
        <f>'info, structure, parameters'!D115</f>
        <v>The PS share of the other fraction</v>
      </c>
      <c r="F56" s="106">
        <f>'info, structure, parameters'!E115</f>
        <v>1</v>
      </c>
      <c r="G56" s="106"/>
      <c r="H56" s="12"/>
      <c r="I56" s="12"/>
      <c r="J56" s="12"/>
      <c r="K56" s="12"/>
      <c r="L56" s="12"/>
      <c r="M56" s="12"/>
      <c r="N56" s="12"/>
    </row>
    <row r="57" spans="1:14" x14ac:dyDescent="0.2">
      <c r="A57" s="12"/>
      <c r="B57" s="106" t="str">
        <f>'info, structure, parameters'!A116</f>
        <v xml:space="preserve">other_Oth </v>
      </c>
      <c r="C57" s="106">
        <f>'info, structure, parameters'!B116</f>
        <v>9.9999999999999922E-2</v>
      </c>
      <c r="D57" s="106" t="str">
        <f>'info, structure, parameters'!C116</f>
        <v>%ww</v>
      </c>
      <c r="E57" s="106" t="str">
        <f>'info, structure, parameters'!D116</f>
        <v>The Other share of the other fraction</v>
      </c>
      <c r="F57" s="106">
        <f>'info, structure, parameters'!E116</f>
        <v>1</v>
      </c>
      <c r="G57" s="106"/>
      <c r="H57" s="12"/>
      <c r="I57" s="12"/>
      <c r="J57" s="12"/>
      <c r="K57" s="12"/>
      <c r="L57" s="12"/>
      <c r="M57" s="12"/>
      <c r="N57" s="12"/>
    </row>
    <row r="58" spans="1:14" ht="25" customHeight="1" x14ac:dyDescent="0.2">
      <c r="A58" s="12"/>
      <c r="B58" s="214" t="s">
        <v>44</v>
      </c>
      <c r="C58" s="214"/>
      <c r="D58" s="214"/>
      <c r="E58" s="214"/>
      <c r="F58" s="214"/>
      <c r="G58" s="214"/>
      <c r="H58" s="11"/>
      <c r="I58" s="11"/>
      <c r="J58" s="11"/>
      <c r="K58" s="11"/>
      <c r="L58" s="11"/>
      <c r="M58" s="11"/>
      <c r="N58" s="12"/>
    </row>
    <row r="59" spans="1:14" ht="25" customHeight="1" x14ac:dyDescent="0.2">
      <c r="A59" s="12"/>
      <c r="B59" s="214" t="s">
        <v>47</v>
      </c>
      <c r="C59" s="214"/>
      <c r="D59" s="214"/>
      <c r="E59" s="214"/>
      <c r="F59" s="214"/>
      <c r="G59" s="214"/>
      <c r="H59" s="11"/>
      <c r="I59" s="11"/>
      <c r="J59" s="11"/>
      <c r="K59" s="11"/>
      <c r="L59" s="11"/>
      <c r="M59" s="11"/>
      <c r="N59" s="12"/>
    </row>
    <row r="60" spans="1:14" x14ac:dyDescent="0.2">
      <c r="A60" s="12"/>
      <c r="B60" s="2" t="s">
        <v>21</v>
      </c>
      <c r="C60" s="3" t="s">
        <v>20</v>
      </c>
      <c r="D60" s="2" t="s">
        <v>99</v>
      </c>
      <c r="E60" s="2" t="s">
        <v>3</v>
      </c>
      <c r="F60" s="2" t="s">
        <v>4</v>
      </c>
      <c r="G60" s="2" t="s">
        <v>43</v>
      </c>
      <c r="H60" s="11"/>
      <c r="I60" s="30"/>
      <c r="J60" s="11"/>
      <c r="K60" s="11"/>
      <c r="L60" s="11"/>
      <c r="M60" s="11"/>
      <c r="N60" s="12"/>
    </row>
    <row r="61" spans="1:14" x14ac:dyDescent="0.2">
      <c r="A61" s="12"/>
      <c r="B61" s="220" t="s">
        <v>14</v>
      </c>
      <c r="C61" s="6" t="s">
        <v>16</v>
      </c>
      <c r="D61" t="s">
        <v>2547</v>
      </c>
      <c r="E61">
        <f t="shared" ref="E61:E80" si="0">C38*$C$32</f>
        <v>230</v>
      </c>
      <c r="F61" t="s">
        <v>10</v>
      </c>
      <c r="G61" t="str">
        <f>B38&amp;" * "&amp;$B$32</f>
        <v>bottle_PET  * Total_WG</v>
      </c>
      <c r="H61" s="101"/>
      <c r="I61" s="12"/>
      <c r="J61" s="12"/>
      <c r="K61" s="12"/>
      <c r="L61" s="12"/>
      <c r="M61" s="12"/>
      <c r="N61" s="12"/>
    </row>
    <row r="62" spans="1:14" x14ac:dyDescent="0.2">
      <c r="A62" s="12"/>
      <c r="B62" s="220"/>
      <c r="C62" s="6" t="s">
        <v>22</v>
      </c>
      <c r="D62" t="s">
        <v>2548</v>
      </c>
      <c r="E62">
        <f t="shared" si="0"/>
        <v>70</v>
      </c>
      <c r="F62" t="s">
        <v>10</v>
      </c>
      <c r="G62" t="str">
        <f t="shared" ref="G62:G80" si="1">B39&amp;" * "&amp;$B$32</f>
        <v>bottle_PE  * Total_WG</v>
      </c>
      <c r="H62" s="101"/>
      <c r="I62" s="12"/>
      <c r="J62" s="12"/>
      <c r="K62" s="12"/>
      <c r="L62" s="12"/>
      <c r="M62" s="12"/>
      <c r="N62" s="12"/>
    </row>
    <row r="63" spans="1:14" x14ac:dyDescent="0.2">
      <c r="A63" s="12"/>
      <c r="B63" s="220"/>
      <c r="C63" s="6" t="s">
        <v>17</v>
      </c>
      <c r="D63" t="s">
        <v>2549</v>
      </c>
      <c r="E63">
        <f t="shared" si="0"/>
        <v>0</v>
      </c>
      <c r="F63" t="s">
        <v>10</v>
      </c>
      <c r="G63" t="str">
        <f t="shared" si="1"/>
        <v>bottle_PP  * Total_WG</v>
      </c>
      <c r="H63" s="101"/>
      <c r="I63" s="12"/>
      <c r="J63" s="12"/>
      <c r="K63" s="12"/>
      <c r="L63" s="12"/>
      <c r="M63" s="12"/>
      <c r="N63" s="12"/>
    </row>
    <row r="64" spans="1:14" x14ac:dyDescent="0.2">
      <c r="A64" s="12"/>
      <c r="B64" s="220"/>
      <c r="C64" t="s">
        <v>18</v>
      </c>
      <c r="D64" t="s">
        <v>2550</v>
      </c>
      <c r="E64">
        <f t="shared" si="0"/>
        <v>0</v>
      </c>
      <c r="F64" t="s">
        <v>10</v>
      </c>
      <c r="G64" t="str">
        <f t="shared" si="1"/>
        <v>bottle_PS  * Total_WG</v>
      </c>
      <c r="H64" s="101"/>
      <c r="I64" s="89"/>
      <c r="J64" s="12"/>
      <c r="K64" s="12"/>
      <c r="L64" s="12"/>
      <c r="M64" s="12"/>
      <c r="N64" s="12"/>
    </row>
    <row r="65" spans="1:14" x14ac:dyDescent="0.2">
      <c r="A65" s="12"/>
      <c r="B65" s="220"/>
      <c r="C65" t="s">
        <v>19</v>
      </c>
      <c r="D65" t="s">
        <v>2551</v>
      </c>
      <c r="E65">
        <f t="shared" si="0"/>
        <v>0</v>
      </c>
      <c r="F65" t="s">
        <v>10</v>
      </c>
      <c r="G65" t="str">
        <f t="shared" si="1"/>
        <v>bottle_Oth  * Total_WG</v>
      </c>
      <c r="H65" s="101"/>
      <c r="I65" s="89"/>
      <c r="J65" s="12"/>
      <c r="K65" s="12"/>
      <c r="L65" s="12"/>
      <c r="M65" s="12"/>
      <c r="N65" s="12"/>
    </row>
    <row r="66" spans="1:14" x14ac:dyDescent="0.2">
      <c r="A66" s="12"/>
      <c r="B66" s="220" t="s">
        <v>15</v>
      </c>
      <c r="C66" s="6" t="str">
        <f>C61</f>
        <v>PET</v>
      </c>
      <c r="D66" t="s">
        <v>2552</v>
      </c>
      <c r="E66">
        <f t="shared" si="0"/>
        <v>40</v>
      </c>
      <c r="F66" t="s">
        <v>10</v>
      </c>
      <c r="G66" t="str">
        <f t="shared" si="1"/>
        <v>rigid_PET  * Total_WG</v>
      </c>
      <c r="H66" s="101"/>
      <c r="I66" s="12"/>
      <c r="J66" s="12"/>
      <c r="K66" s="12"/>
      <c r="L66" s="12"/>
      <c r="M66" s="12"/>
      <c r="N66" s="12"/>
    </row>
    <row r="67" spans="1:14" x14ac:dyDescent="0.2">
      <c r="A67" s="12"/>
      <c r="B67" s="220"/>
      <c r="C67" s="6" t="str">
        <f t="shared" ref="C67:C80" si="2">C62</f>
        <v>PE</v>
      </c>
      <c r="D67" t="s">
        <v>2553</v>
      </c>
      <c r="E67">
        <f t="shared" si="0"/>
        <v>30</v>
      </c>
      <c r="F67" t="s">
        <v>10</v>
      </c>
      <c r="G67" t="str">
        <f t="shared" si="1"/>
        <v>rigid_PE  * Total_WG</v>
      </c>
      <c r="H67" s="101"/>
      <c r="I67" s="12"/>
      <c r="J67" s="12"/>
      <c r="K67" s="12"/>
      <c r="L67" s="12"/>
      <c r="M67" s="12"/>
      <c r="N67" s="12"/>
    </row>
    <row r="68" spans="1:14" x14ac:dyDescent="0.2">
      <c r="A68" s="12"/>
      <c r="B68" s="220"/>
      <c r="C68" s="6" t="str">
        <f t="shared" si="2"/>
        <v>PP</v>
      </c>
      <c r="D68" t="s">
        <v>2554</v>
      </c>
      <c r="E68">
        <f t="shared" si="0"/>
        <v>70</v>
      </c>
      <c r="F68" t="s">
        <v>10</v>
      </c>
      <c r="G68" t="str">
        <f t="shared" si="1"/>
        <v>rigid_PP  * Total_WG</v>
      </c>
      <c r="H68" s="101"/>
      <c r="I68" s="12"/>
      <c r="J68" s="12"/>
      <c r="K68" s="12"/>
      <c r="L68" s="12"/>
      <c r="M68" s="12"/>
      <c r="N68" s="12"/>
    </row>
    <row r="69" spans="1:14" x14ac:dyDescent="0.2">
      <c r="A69" s="12"/>
      <c r="B69" s="220"/>
      <c r="C69" s="6" t="str">
        <f t="shared" si="2"/>
        <v>PS</v>
      </c>
      <c r="D69" t="s">
        <v>2555</v>
      </c>
      <c r="E69">
        <f t="shared" si="0"/>
        <v>10</v>
      </c>
      <c r="F69" t="s">
        <v>10</v>
      </c>
      <c r="G69" t="str">
        <f t="shared" si="1"/>
        <v>rigid_PS  * Total_WG</v>
      </c>
      <c r="H69" s="101"/>
      <c r="I69" s="89"/>
      <c r="J69" s="12"/>
      <c r="K69" s="12"/>
      <c r="L69" s="12"/>
      <c r="M69" s="12"/>
      <c r="N69" s="12"/>
    </row>
    <row r="70" spans="1:14" x14ac:dyDescent="0.2">
      <c r="A70" s="12"/>
      <c r="B70" s="220"/>
      <c r="C70" s="6" t="str">
        <f t="shared" si="2"/>
        <v>Other</v>
      </c>
      <c r="D70" t="s">
        <v>2556</v>
      </c>
      <c r="E70">
        <f t="shared" si="0"/>
        <v>49.999999999999986</v>
      </c>
      <c r="F70" t="s">
        <v>10</v>
      </c>
      <c r="G70" t="str">
        <f t="shared" si="1"/>
        <v>rigid_Oth  * Total_WG</v>
      </c>
      <c r="H70" s="101"/>
      <c r="I70" s="89"/>
      <c r="J70" s="12"/>
      <c r="K70" s="12"/>
      <c r="L70" s="12"/>
      <c r="M70" s="12"/>
      <c r="N70" s="12"/>
    </row>
    <row r="71" spans="1:14" x14ac:dyDescent="0.2">
      <c r="A71" s="12"/>
      <c r="B71" s="220" t="s">
        <v>42</v>
      </c>
      <c r="C71" s="6" t="str">
        <f t="shared" si="2"/>
        <v>PET</v>
      </c>
      <c r="D71" t="s">
        <v>2557</v>
      </c>
      <c r="E71">
        <f t="shared" si="0"/>
        <v>0</v>
      </c>
      <c r="F71" t="s">
        <v>10</v>
      </c>
      <c r="G71" t="str">
        <f t="shared" si="1"/>
        <v>soft_PET  * Total_WG</v>
      </c>
      <c r="H71" s="101"/>
      <c r="I71" s="12"/>
      <c r="J71" s="12"/>
      <c r="K71" s="12"/>
      <c r="L71" s="12"/>
      <c r="M71" s="12"/>
      <c r="N71" s="12"/>
    </row>
    <row r="72" spans="1:14" x14ac:dyDescent="0.2">
      <c r="A72" s="12"/>
      <c r="B72" s="220"/>
      <c r="C72" s="6" t="str">
        <f t="shared" si="2"/>
        <v>PE</v>
      </c>
      <c r="D72" t="s">
        <v>2558</v>
      </c>
      <c r="E72">
        <f t="shared" si="0"/>
        <v>300</v>
      </c>
      <c r="F72" t="s">
        <v>10</v>
      </c>
      <c r="G72" t="str">
        <f t="shared" si="1"/>
        <v>soft_PE  * Total_WG</v>
      </c>
      <c r="H72" s="101"/>
      <c r="I72" s="12"/>
      <c r="J72" s="12"/>
      <c r="K72" s="12"/>
      <c r="L72" s="12"/>
      <c r="M72" s="12"/>
      <c r="N72" s="12"/>
    </row>
    <row r="73" spans="1:14" x14ac:dyDescent="0.2">
      <c r="A73" s="12"/>
      <c r="B73" s="220"/>
      <c r="C73" s="6" t="str">
        <f t="shared" si="2"/>
        <v>PP</v>
      </c>
      <c r="D73" t="s">
        <v>2559</v>
      </c>
      <c r="E73">
        <f t="shared" si="0"/>
        <v>0</v>
      </c>
      <c r="F73" t="s">
        <v>10</v>
      </c>
      <c r="G73" t="str">
        <f t="shared" si="1"/>
        <v>soft_PP  * Total_WG</v>
      </c>
      <c r="H73" s="101"/>
      <c r="I73" s="12"/>
      <c r="J73" s="12"/>
      <c r="K73" s="12"/>
      <c r="L73" s="12"/>
      <c r="M73" s="12"/>
      <c r="N73" s="12"/>
    </row>
    <row r="74" spans="1:14" x14ac:dyDescent="0.2">
      <c r="A74" s="12"/>
      <c r="B74" s="220"/>
      <c r="C74" s="6" t="str">
        <f t="shared" si="2"/>
        <v>PS</v>
      </c>
      <c r="D74" t="s">
        <v>2560</v>
      </c>
      <c r="E74">
        <f t="shared" si="0"/>
        <v>0</v>
      </c>
      <c r="F74" t="s">
        <v>10</v>
      </c>
      <c r="G74" t="str">
        <f t="shared" si="1"/>
        <v>soft_PS  * Total_WG</v>
      </c>
      <c r="H74" s="101"/>
      <c r="I74" s="89"/>
      <c r="J74" s="12"/>
      <c r="K74" s="12"/>
      <c r="L74" s="12"/>
      <c r="M74" s="12"/>
      <c r="N74" s="12"/>
    </row>
    <row r="75" spans="1:14" x14ac:dyDescent="0.2">
      <c r="A75" s="12"/>
      <c r="B75" s="220"/>
      <c r="C75" s="6" t="str">
        <f t="shared" si="2"/>
        <v>Other</v>
      </c>
      <c r="D75" t="s">
        <v>2561</v>
      </c>
      <c r="E75">
        <f t="shared" si="0"/>
        <v>100.00000000000003</v>
      </c>
      <c r="F75" t="s">
        <v>10</v>
      </c>
      <c r="G75" t="str">
        <f t="shared" si="1"/>
        <v>soft_Oth  * Total_WG</v>
      </c>
      <c r="H75" s="101"/>
      <c r="I75" s="89"/>
      <c r="J75" s="12"/>
      <c r="K75" s="12"/>
      <c r="L75" s="12"/>
      <c r="M75" s="12"/>
      <c r="N75" s="12"/>
    </row>
    <row r="76" spans="1:14" x14ac:dyDescent="0.2">
      <c r="A76" s="12"/>
      <c r="B76" s="220" t="s">
        <v>19</v>
      </c>
      <c r="C76" s="6" t="str">
        <f t="shared" si="2"/>
        <v>PET</v>
      </c>
      <c r="D76" t="s">
        <v>2562</v>
      </c>
      <c r="E76">
        <f t="shared" si="0"/>
        <v>0</v>
      </c>
      <c r="F76" t="s">
        <v>10</v>
      </c>
      <c r="G76" t="str">
        <f t="shared" si="1"/>
        <v>other_PET  * Total_WG</v>
      </c>
      <c r="H76" s="101"/>
      <c r="I76" s="89"/>
      <c r="J76" s="12"/>
      <c r="K76" s="12"/>
      <c r="L76" s="12"/>
      <c r="M76" s="12"/>
      <c r="N76" s="12"/>
    </row>
    <row r="77" spans="1:14" x14ac:dyDescent="0.2">
      <c r="A77" s="12"/>
      <c r="B77" s="220"/>
      <c r="C77" s="6" t="str">
        <f t="shared" si="2"/>
        <v>PE</v>
      </c>
      <c r="D77" t="s">
        <v>2563</v>
      </c>
      <c r="E77">
        <f t="shared" si="0"/>
        <v>0</v>
      </c>
      <c r="F77" t="s">
        <v>10</v>
      </c>
      <c r="G77" t="str">
        <f t="shared" si="1"/>
        <v>other_PE  * Total_WG</v>
      </c>
      <c r="H77" s="101"/>
      <c r="I77" s="89"/>
      <c r="J77" s="12"/>
      <c r="K77" s="12"/>
      <c r="L77" s="12"/>
      <c r="M77" s="12"/>
      <c r="N77" s="12"/>
    </row>
    <row r="78" spans="1:14" x14ac:dyDescent="0.2">
      <c r="A78" s="12"/>
      <c r="B78" s="220"/>
      <c r="C78" s="6" t="str">
        <f t="shared" si="2"/>
        <v>PP</v>
      </c>
      <c r="D78" t="s">
        <v>2564</v>
      </c>
      <c r="E78">
        <f t="shared" si="0"/>
        <v>0</v>
      </c>
      <c r="F78" t="s">
        <v>10</v>
      </c>
      <c r="G78" t="str">
        <f t="shared" si="1"/>
        <v>other_PP  * Total_WG</v>
      </c>
      <c r="H78" s="101"/>
      <c r="I78" s="89"/>
      <c r="J78" s="12"/>
      <c r="K78" s="12"/>
      <c r="L78" s="12"/>
      <c r="M78" s="12"/>
      <c r="N78" s="12"/>
    </row>
    <row r="79" spans="1:14" x14ac:dyDescent="0.2">
      <c r="A79" s="12"/>
      <c r="B79" s="220"/>
      <c r="C79" s="6" t="str">
        <f t="shared" si="2"/>
        <v>PS</v>
      </c>
      <c r="D79" t="s">
        <v>2565</v>
      </c>
      <c r="E79">
        <f t="shared" si="0"/>
        <v>0</v>
      </c>
      <c r="F79" t="s">
        <v>10</v>
      </c>
      <c r="G79" t="str">
        <f t="shared" si="1"/>
        <v>other_PS  * Total_WG</v>
      </c>
      <c r="H79" s="101"/>
      <c r="I79" s="89"/>
      <c r="J79" s="12"/>
      <c r="K79" s="12"/>
      <c r="L79" s="12"/>
      <c r="M79" s="12"/>
      <c r="N79" s="12"/>
    </row>
    <row r="80" spans="1:14" x14ac:dyDescent="0.2">
      <c r="A80" s="12"/>
      <c r="B80" s="220"/>
      <c r="C80" s="6" t="str">
        <f t="shared" si="2"/>
        <v>Other</v>
      </c>
      <c r="D80" t="s">
        <v>2566</v>
      </c>
      <c r="E80">
        <f t="shared" si="0"/>
        <v>99.999999999999929</v>
      </c>
      <c r="F80" t="s">
        <v>10</v>
      </c>
      <c r="G80" t="str">
        <f t="shared" si="1"/>
        <v>other_Oth  * Total_WG</v>
      </c>
      <c r="H80" s="101"/>
      <c r="I80" s="89"/>
      <c r="J80" s="12"/>
      <c r="K80" s="12"/>
      <c r="L80" s="12"/>
      <c r="M80" s="12"/>
      <c r="N80" s="12"/>
    </row>
    <row r="81" spans="1:14" ht="25" customHeight="1" x14ac:dyDescent="0.2">
      <c r="A81" s="12"/>
      <c r="B81" s="214" t="s">
        <v>45</v>
      </c>
      <c r="C81" s="214"/>
      <c r="D81" s="214"/>
      <c r="E81" s="214"/>
      <c r="F81" s="214"/>
      <c r="G81" s="214"/>
      <c r="H81" s="11"/>
      <c r="I81" s="11"/>
      <c r="J81" s="11"/>
      <c r="K81" s="11"/>
      <c r="L81" s="11"/>
      <c r="M81" s="11"/>
      <c r="N81" s="12"/>
    </row>
    <row r="82" spans="1:14" x14ac:dyDescent="0.2">
      <c r="A82" s="12"/>
      <c r="B82" s="53" t="s">
        <v>46</v>
      </c>
      <c r="C82" s="10" t="s">
        <v>3</v>
      </c>
      <c r="D82" s="10" t="s">
        <v>4</v>
      </c>
      <c r="E82" s="53" t="s">
        <v>7</v>
      </c>
      <c r="F82" s="10"/>
      <c r="G82" s="10"/>
      <c r="H82" s="11"/>
      <c r="I82" s="31"/>
      <c r="J82" s="31"/>
      <c r="K82" s="31"/>
      <c r="L82" s="42"/>
      <c r="M82" s="42"/>
      <c r="N82" s="12"/>
    </row>
    <row r="83" spans="1:14" x14ac:dyDescent="0.2">
      <c r="A83" s="12"/>
      <c r="B83" t="s">
        <v>150</v>
      </c>
      <c r="C83">
        <f>SUM(E61:E65)</f>
        <v>300</v>
      </c>
      <c r="D83" t="s">
        <v>10</v>
      </c>
      <c r="E83" t="s">
        <v>1992</v>
      </c>
      <c r="F83" s="2"/>
      <c r="G83" s="2"/>
      <c r="H83" s="12"/>
      <c r="I83" s="12"/>
      <c r="J83" s="12"/>
      <c r="K83" s="12"/>
      <c r="L83" s="11"/>
      <c r="M83" s="11"/>
      <c r="N83" s="12"/>
    </row>
    <row r="84" spans="1:14" x14ac:dyDescent="0.2">
      <c r="A84" s="12"/>
      <c r="B84" t="s">
        <v>151</v>
      </c>
      <c r="C84">
        <f>SUM(E66:E70)</f>
        <v>200</v>
      </c>
      <c r="D84" t="s">
        <v>10</v>
      </c>
      <c r="E84" t="s">
        <v>1993</v>
      </c>
      <c r="F84" s="2"/>
      <c r="G84" s="2"/>
      <c r="H84" s="12"/>
      <c r="I84" s="12"/>
      <c r="J84" s="12"/>
      <c r="K84" s="12"/>
      <c r="L84" s="11"/>
      <c r="M84" s="11"/>
      <c r="N84" s="12"/>
    </row>
    <row r="85" spans="1:14" x14ac:dyDescent="0.2">
      <c r="A85" s="12"/>
      <c r="B85" t="s">
        <v>152</v>
      </c>
      <c r="C85">
        <f>SUM(E71:E75)</f>
        <v>400</v>
      </c>
      <c r="D85" t="s">
        <v>10</v>
      </c>
      <c r="E85" t="s">
        <v>1994</v>
      </c>
      <c r="F85" s="2"/>
      <c r="G85" s="2"/>
      <c r="H85" s="12"/>
      <c r="I85" s="12"/>
      <c r="J85" s="12"/>
      <c r="K85" s="12"/>
      <c r="L85" s="11"/>
      <c r="M85" s="11"/>
      <c r="N85" s="12"/>
    </row>
    <row r="86" spans="1:14" ht="16" thickBot="1" x14ac:dyDescent="0.25">
      <c r="A86" s="12"/>
      <c r="B86" s="8" t="s">
        <v>153</v>
      </c>
      <c r="C86" s="8">
        <f>SUM(E76:E80)</f>
        <v>99.999999999999929</v>
      </c>
      <c r="D86" s="8" t="s">
        <v>217</v>
      </c>
      <c r="E86" s="8" t="s">
        <v>1995</v>
      </c>
      <c r="F86" s="8"/>
      <c r="G86" s="8"/>
      <c r="H86" s="12"/>
      <c r="I86" s="89"/>
      <c r="J86" s="12"/>
      <c r="K86" s="12"/>
      <c r="L86" s="12"/>
      <c r="M86" s="12"/>
      <c r="N86" s="12"/>
    </row>
    <row r="87" spans="1:14" ht="16" thickTop="1" x14ac:dyDescent="0.2">
      <c r="A87" s="12"/>
      <c r="B87" s="44" t="s">
        <v>149</v>
      </c>
      <c r="C87" s="44">
        <f>SUM(E61:E80)</f>
        <v>999.99999999999989</v>
      </c>
      <c r="D87" s="44" t="s">
        <v>10</v>
      </c>
      <c r="E87" s="44" t="s">
        <v>1996</v>
      </c>
      <c r="F87" s="56"/>
      <c r="G87" s="56"/>
      <c r="H87" s="12"/>
      <c r="I87" s="12"/>
      <c r="J87" s="12"/>
      <c r="K87" s="12"/>
      <c r="L87" s="11"/>
      <c r="M87" s="11"/>
      <c r="N87" s="12"/>
    </row>
    <row r="88" spans="1:14" x14ac:dyDescent="0.2">
      <c r="A88" s="12"/>
      <c r="B88" s="125" t="s">
        <v>2704</v>
      </c>
      <c r="C88" s="125" t="str">
        <f>IF(C87=C32,"true")</f>
        <v>true</v>
      </c>
      <c r="D88" s="125"/>
      <c r="E88" s="125"/>
      <c r="F88" s="125"/>
      <c r="G88" s="125"/>
      <c r="H88" s="12"/>
      <c r="I88" s="89"/>
      <c r="J88" s="12"/>
      <c r="K88" s="89"/>
      <c r="L88" s="12"/>
      <c r="M88" s="12"/>
      <c r="N88" s="12"/>
    </row>
    <row r="89" spans="1:14" x14ac:dyDescent="0.2">
      <c r="A89" s="12"/>
      <c r="B89" s="12"/>
      <c r="C89" s="12"/>
      <c r="D89" s="12"/>
      <c r="E89" s="12"/>
      <c r="F89" s="12"/>
      <c r="G89" s="12"/>
      <c r="H89" s="12"/>
      <c r="I89" s="89"/>
      <c r="J89" s="12"/>
      <c r="K89" s="89"/>
      <c r="L89" s="12"/>
      <c r="M89" s="12"/>
      <c r="N89" s="12"/>
    </row>
    <row r="90" spans="1:14" x14ac:dyDescent="0.2">
      <c r="A90" s="12"/>
      <c r="B90" s="12"/>
      <c r="C90" s="12"/>
      <c r="D90" s="12"/>
      <c r="E90" s="12"/>
      <c r="F90" s="12"/>
      <c r="G90" s="12"/>
      <c r="H90" s="12"/>
      <c r="I90" s="89"/>
      <c r="J90" s="12"/>
      <c r="K90" s="89"/>
      <c r="L90" s="12"/>
      <c r="M90" s="12"/>
      <c r="N90" s="12"/>
    </row>
    <row r="91" spans="1:14" x14ac:dyDescent="0.2">
      <c r="A91" s="12"/>
      <c r="B91" s="11"/>
      <c r="C91" s="11"/>
      <c r="D91" s="11"/>
      <c r="E91" s="11"/>
      <c r="F91" s="11"/>
      <c r="G91" s="11"/>
      <c r="H91" s="11"/>
      <c r="I91" s="11"/>
      <c r="J91" s="11"/>
      <c r="K91" s="11"/>
      <c r="L91" s="11"/>
      <c r="M91" s="11"/>
      <c r="N91" s="12"/>
    </row>
    <row r="92" spans="1:14" ht="25" customHeight="1" x14ac:dyDescent="0.2">
      <c r="A92" s="12"/>
      <c r="B92" s="214" t="s">
        <v>117</v>
      </c>
      <c r="C92" s="214"/>
      <c r="D92" s="214"/>
      <c r="E92" s="214"/>
      <c r="F92" s="214"/>
      <c r="G92" s="214"/>
      <c r="H92" s="214"/>
      <c r="I92" s="214"/>
      <c r="J92" s="214"/>
      <c r="K92" s="214"/>
      <c r="L92" s="214"/>
      <c r="M92" s="214"/>
      <c r="N92" s="12"/>
    </row>
    <row r="93" spans="1:14" x14ac:dyDescent="0.2">
      <c r="A93" s="12"/>
      <c r="B93" s="114" t="str">
        <f>'mechanical recycling'!B38</f>
        <v>Parameters</v>
      </c>
      <c r="C93" s="114" t="str">
        <f>'mechanical recycling'!C38</f>
        <v>Value (average)</v>
      </c>
      <c r="D93" s="114" t="s">
        <v>5</v>
      </c>
      <c r="E93" s="114" t="s">
        <v>6</v>
      </c>
      <c r="F93" s="114" t="str">
        <f>'mechanical recycling'!D38</f>
        <v>Unit</v>
      </c>
      <c r="G93" s="114" t="str">
        <f>'mechanical recycling'!E38</f>
        <v>Description</v>
      </c>
      <c r="H93" s="114" t="str">
        <f>'mechanical recycling'!F38</f>
        <v>Reference</v>
      </c>
      <c r="I93" s="114"/>
      <c r="J93" s="114"/>
      <c r="K93" s="114"/>
      <c r="L93" s="114"/>
      <c r="M93" s="114"/>
      <c r="N93" s="12"/>
    </row>
    <row r="94" spans="1:14" x14ac:dyDescent="0.2">
      <c r="A94" s="12"/>
      <c r="B94" s="106" t="str">
        <f>'info, structure, parameters'!A194</f>
        <v>ash_bottle_mass</v>
      </c>
      <c r="C94" s="106">
        <f>'info, structure, parameters'!B194</f>
        <v>5.4594999999999998E-2</v>
      </c>
      <c r="D94" s="106" t="str">
        <f>'info, structure, parameters'!C194</f>
        <v>kg ww</v>
      </c>
      <c r="E94" s="136">
        <f>'info, structure, parameters'!D194</f>
        <v>5.4594999999999998E-2</v>
      </c>
      <c r="F94" s="106">
        <f>'info, structure, parameters'!E194</f>
        <v>5.4594999999999998E-2</v>
      </c>
      <c r="G94" s="106" t="str">
        <f>'info, structure, parameters'!F194</f>
        <v>The residue content of 1 kg of plastic bottles</v>
      </c>
      <c r="H94" s="106">
        <f>'info, structure, parameters'!G194</f>
        <v>3</v>
      </c>
      <c r="I94" s="106"/>
      <c r="J94" s="106"/>
      <c r="K94" s="106"/>
      <c r="L94" s="106"/>
      <c r="M94" s="106"/>
      <c r="N94" s="12"/>
    </row>
    <row r="95" spans="1:14" x14ac:dyDescent="0.2">
      <c r="A95" s="12"/>
      <c r="B95" s="106" t="str">
        <f>'info, structure, parameters'!A195</f>
        <v>ash_rigid_mass</v>
      </c>
      <c r="C95" s="106">
        <f>'info, structure, parameters'!B195</f>
        <v>2.1295999999999999E-2</v>
      </c>
      <c r="D95" s="106" t="str">
        <f>'info, structure, parameters'!C195</f>
        <v>kg ww</v>
      </c>
      <c r="E95" s="136">
        <f>'info, structure, parameters'!D195</f>
        <v>2.1295999999999999E-2</v>
      </c>
      <c r="F95" s="106">
        <f>'info, structure, parameters'!E195</f>
        <v>2.1295999999999999E-2</v>
      </c>
      <c r="G95" s="106" t="str">
        <f>'info, structure, parameters'!F195</f>
        <v>The residue content of 1 kg of rigid plastic</v>
      </c>
      <c r="H95" s="106">
        <f>'info, structure, parameters'!G195</f>
        <v>3</v>
      </c>
      <c r="I95" s="106"/>
      <c r="J95" s="106"/>
      <c r="K95" s="106"/>
      <c r="L95" s="106"/>
      <c r="M95" s="106"/>
      <c r="N95" s="12"/>
    </row>
    <row r="96" spans="1:14" x14ac:dyDescent="0.2">
      <c r="A96" s="12"/>
      <c r="B96" s="106" t="str">
        <f>'info, structure, parameters'!A196</f>
        <v>ash_soft_mass</v>
      </c>
      <c r="C96" s="106">
        <f>'info, structure, parameters'!B196</f>
        <v>3.7791600000000002E-2</v>
      </c>
      <c r="D96" s="106" t="str">
        <f>'info, structure, parameters'!C196</f>
        <v>kg ww</v>
      </c>
      <c r="E96" s="136">
        <f>'info, structure, parameters'!D196</f>
        <v>3.7791600000000002E-2</v>
      </c>
      <c r="F96" s="106">
        <f>'info, structure, parameters'!E196</f>
        <v>3.7791600000000002E-2</v>
      </c>
      <c r="G96" s="106" t="str">
        <f>'info, structure, parameters'!F196</f>
        <v>The residue content of 1 kg of soft plastic</v>
      </c>
      <c r="H96" s="106">
        <f>'info, structure, parameters'!G196</f>
        <v>3</v>
      </c>
      <c r="I96" s="106"/>
      <c r="J96" s="106"/>
      <c r="K96" s="106"/>
      <c r="L96" s="106"/>
      <c r="M96" s="106"/>
      <c r="N96" s="12"/>
    </row>
    <row r="97" spans="1:41" x14ac:dyDescent="0.2">
      <c r="A97" s="12"/>
      <c r="B97" s="106" t="str">
        <f>'info, structure, parameters'!A197</f>
        <v>ash_nonrec_mass</v>
      </c>
      <c r="C97" s="106">
        <f>'info, structure, parameters'!B197</f>
        <v>5.1095000000000002E-2</v>
      </c>
      <c r="D97" s="106" t="str">
        <f>'info, structure, parameters'!C197</f>
        <v>kg ww</v>
      </c>
      <c r="E97" s="136">
        <f>'info, structure, parameters'!D197</f>
        <v>5.1095000000000002E-2</v>
      </c>
      <c r="F97" s="106">
        <f>'info, structure, parameters'!E197</f>
        <v>5.1095000000000002E-2</v>
      </c>
      <c r="G97" s="106" t="str">
        <f>'info, structure, parameters'!F197</f>
        <v>The residue content of 1 kg of nonrec plastic</v>
      </c>
      <c r="H97" s="106">
        <f>'info, structure, parameters'!G197</f>
        <v>3</v>
      </c>
      <c r="I97" s="106"/>
      <c r="J97" s="106"/>
      <c r="K97" s="106"/>
      <c r="L97" s="106"/>
      <c r="M97" s="106"/>
      <c r="N97" s="12"/>
    </row>
    <row r="98" spans="1:41" x14ac:dyDescent="0.2">
      <c r="A98" s="12"/>
      <c r="B98" s="106" t="str">
        <f>'info, structure, parameters'!A198</f>
        <v>air_bottle_mass</v>
      </c>
      <c r="C98" s="106">
        <f>'info, structure, parameters'!B198</f>
        <v>0.94540499999999994</v>
      </c>
      <c r="D98" s="106" t="str">
        <f>'info, structure, parameters'!C198</f>
        <v>kg ww</v>
      </c>
      <c r="E98" s="136">
        <f>'info, structure, parameters'!D198</f>
        <v>0.94540499999999994</v>
      </c>
      <c r="F98" s="106">
        <f>'info, structure, parameters'!E198</f>
        <v>0.94540499999999994</v>
      </c>
      <c r="G98" s="106" t="str">
        <f>'info, structure, parameters'!F198</f>
        <v>The water and volatile solid content of 1 kg of bottle plastic</v>
      </c>
      <c r="H98" s="106">
        <f>'info, structure, parameters'!G198</f>
        <v>3</v>
      </c>
      <c r="I98" s="106"/>
      <c r="J98" s="106"/>
      <c r="K98" s="106"/>
      <c r="L98" s="106"/>
      <c r="M98" s="106"/>
      <c r="N98" s="12"/>
    </row>
    <row r="99" spans="1:41" x14ac:dyDescent="0.2">
      <c r="A99" s="12"/>
      <c r="B99" s="106" t="str">
        <f>'info, structure, parameters'!A199</f>
        <v>air_rigid_mass</v>
      </c>
      <c r="C99" s="106">
        <f>'info, structure, parameters'!B199</f>
        <v>0.97870400000000002</v>
      </c>
      <c r="D99" s="106" t="str">
        <f>'info, structure, parameters'!C199</f>
        <v>kg ww</v>
      </c>
      <c r="E99" s="136">
        <f>'info, structure, parameters'!D199</f>
        <v>0.97870400000000002</v>
      </c>
      <c r="F99" s="106">
        <f>'info, structure, parameters'!E199</f>
        <v>0.97870400000000002</v>
      </c>
      <c r="G99" s="106" t="str">
        <f>'info, structure, parameters'!F199</f>
        <v>The water and volatile solid content of 1 kg of rigid plastic</v>
      </c>
      <c r="H99" s="106">
        <f>'info, structure, parameters'!G199</f>
        <v>3</v>
      </c>
      <c r="I99" s="106"/>
      <c r="J99" s="106"/>
      <c r="K99" s="106"/>
      <c r="L99" s="106"/>
      <c r="M99" s="106"/>
      <c r="N99" s="12"/>
    </row>
    <row r="100" spans="1:41" x14ac:dyDescent="0.2">
      <c r="A100" s="147"/>
      <c r="B100" s="106" t="str">
        <f>'info, structure, parameters'!A200</f>
        <v>air_soft_mass</v>
      </c>
      <c r="C100" s="106">
        <f>'info, structure, parameters'!B200</f>
        <v>0.96220839999999996</v>
      </c>
      <c r="D100" s="106" t="str">
        <f>'info, structure, parameters'!C200</f>
        <v>kg ww</v>
      </c>
      <c r="E100" s="136">
        <f>'info, structure, parameters'!D200</f>
        <v>0.96220839999999996</v>
      </c>
      <c r="F100" s="106">
        <f>'info, structure, parameters'!E200</f>
        <v>0.96220839999999996</v>
      </c>
      <c r="G100" s="106" t="str">
        <f>'info, structure, parameters'!F200</f>
        <v>The water and volatile solid content of 1 kg of soft plastic</v>
      </c>
      <c r="H100" s="106">
        <f>'info, structure, parameters'!G200</f>
        <v>3</v>
      </c>
      <c r="I100" s="106"/>
      <c r="J100" s="106"/>
      <c r="K100" s="106"/>
      <c r="L100" s="106"/>
      <c r="M100" s="106"/>
      <c r="N100" s="12"/>
    </row>
    <row r="101" spans="1:41" x14ac:dyDescent="0.2">
      <c r="A101" s="147"/>
      <c r="B101" s="106" t="str">
        <f>'info, structure, parameters'!A201</f>
        <v>air_nonrec_mass</v>
      </c>
      <c r="C101" s="106">
        <f>'info, structure, parameters'!B201</f>
        <v>0.94890499999999989</v>
      </c>
      <c r="D101" s="106" t="str">
        <f>'info, structure, parameters'!C201</f>
        <v>kg ww</v>
      </c>
      <c r="E101" s="136">
        <f>'info, structure, parameters'!D201</f>
        <v>0.94890499999999989</v>
      </c>
      <c r="F101" s="106">
        <f>'info, structure, parameters'!E201</f>
        <v>0.94890499999999989</v>
      </c>
      <c r="G101" s="106" t="str">
        <f>'info, structure, parameters'!F201</f>
        <v>The water and volatile solid content of 1 kg of nonrec plastic</v>
      </c>
      <c r="H101" s="106">
        <f>'info, structure, parameters'!G201</f>
        <v>3</v>
      </c>
      <c r="I101" s="106"/>
      <c r="J101" s="106"/>
      <c r="K101" s="106"/>
      <c r="L101" s="106"/>
      <c r="M101" s="106"/>
      <c r="N101" s="12"/>
    </row>
    <row r="102" spans="1:41" ht="25" customHeight="1" x14ac:dyDescent="0.2">
      <c r="A102" s="147"/>
      <c r="B102" s="214" t="s">
        <v>127</v>
      </c>
      <c r="C102" s="214"/>
      <c r="D102" s="214"/>
      <c r="E102" s="214"/>
      <c r="F102" s="214"/>
      <c r="G102" s="214"/>
      <c r="H102" s="214"/>
      <c r="I102" s="214"/>
      <c r="J102" s="214"/>
      <c r="K102" s="214"/>
      <c r="L102" s="214"/>
      <c r="M102" s="214"/>
      <c r="N102" s="12"/>
    </row>
    <row r="103" spans="1:41" ht="25" customHeight="1" x14ac:dyDescent="0.2">
      <c r="A103" s="12"/>
      <c r="B103" s="214" t="s">
        <v>164</v>
      </c>
      <c r="C103" s="214"/>
      <c r="D103" s="214"/>
      <c r="E103" s="214"/>
      <c r="F103" s="214"/>
      <c r="G103" s="223"/>
      <c r="H103" s="214" t="s">
        <v>165</v>
      </c>
      <c r="I103" s="214"/>
      <c r="J103" s="214"/>
      <c r="K103" s="214"/>
      <c r="L103" s="214"/>
      <c r="M103" s="214"/>
      <c r="N103" s="12"/>
    </row>
    <row r="104" spans="1:41" x14ac:dyDescent="0.2">
      <c r="A104" s="12"/>
      <c r="B104" s="2" t="s">
        <v>21</v>
      </c>
      <c r="C104" s="2" t="s">
        <v>20</v>
      </c>
      <c r="D104" s="2" t="s">
        <v>99</v>
      </c>
      <c r="E104" s="2" t="s">
        <v>3</v>
      </c>
      <c r="F104" s="2" t="s">
        <v>4</v>
      </c>
      <c r="G104" s="4" t="s">
        <v>43</v>
      </c>
      <c r="H104" s="2" t="str">
        <f>B104</f>
        <v>Fraction</v>
      </c>
      <c r="I104" s="2" t="str">
        <f t="shared" ref="I104:L104" si="3">C104</f>
        <v>Sub-fraction</v>
      </c>
      <c r="J104" s="2" t="str">
        <f t="shared" si="3"/>
        <v>Name</v>
      </c>
      <c r="K104" s="2" t="str">
        <f t="shared" si="3"/>
        <v>Value</v>
      </c>
      <c r="L104" s="2" t="str">
        <f t="shared" si="3"/>
        <v>Unit</v>
      </c>
      <c r="M104" s="2" t="str">
        <f>G104</f>
        <v>Equation</v>
      </c>
      <c r="N104" s="12"/>
    </row>
    <row r="105" spans="1:41" x14ac:dyDescent="0.2">
      <c r="A105" s="12"/>
      <c r="B105" s="220" t="s">
        <v>14</v>
      </c>
      <c r="C105" s="6" t="str">
        <f>C61</f>
        <v>PET</v>
      </c>
      <c r="D105" t="s">
        <v>2288</v>
      </c>
      <c r="E105">
        <f>$C$94*E61</f>
        <v>12.556849999999999</v>
      </c>
      <c r="F105" t="s">
        <v>10</v>
      </c>
      <c r="G105" s="32" t="str">
        <f>$B$94&amp;" * "&amp;D61</f>
        <v>ash_bottle_mass * bottle_PET_WG_INC_mass_incineration</v>
      </c>
      <c r="H105" s="221" t="str">
        <f>B105</f>
        <v>Bottle</v>
      </c>
      <c r="I105" s="6" t="str">
        <f>C105</f>
        <v>PET</v>
      </c>
      <c r="J105" t="s">
        <v>2308</v>
      </c>
      <c r="K105" s="33">
        <f t="shared" ref="K105:K124" si="4">E61-E105</f>
        <v>217.44315</v>
      </c>
      <c r="L105" t="s">
        <v>10</v>
      </c>
      <c r="M105" t="str">
        <f>D61&amp;" - "&amp;D105</f>
        <v>bottle_PET_WG_INC_mass_incineration - bottle_PET_INC_ASH_mass_incineration</v>
      </c>
      <c r="N105" s="12" t="s">
        <v>1005</v>
      </c>
    </row>
    <row r="106" spans="1:41" x14ac:dyDescent="0.2">
      <c r="A106" s="12"/>
      <c r="B106" s="220"/>
      <c r="C106" s="6" t="str">
        <f t="shared" ref="C106:C124" si="5">C62</f>
        <v>PE</v>
      </c>
      <c r="D106" t="s">
        <v>2289</v>
      </c>
      <c r="E106">
        <f>$C$94*E62</f>
        <v>3.82165</v>
      </c>
      <c r="F106" t="str">
        <f>F105</f>
        <v>kg ww</v>
      </c>
      <c r="G106" s="32" t="str">
        <f t="shared" ref="G106:G109" si="6">$B$94&amp;" * "&amp;D62</f>
        <v>ash_bottle_mass * bottle_PE_WG_INC_mass_incineration</v>
      </c>
      <c r="H106" s="221"/>
      <c r="I106" s="6" t="str">
        <f t="shared" ref="I106:I124" si="7">C106</f>
        <v>PE</v>
      </c>
      <c r="J106" t="s">
        <v>2309</v>
      </c>
      <c r="K106" s="33">
        <f t="shared" si="4"/>
        <v>66.178349999999995</v>
      </c>
      <c r="L106" t="str">
        <f>L105</f>
        <v>kg ww</v>
      </c>
      <c r="M106" t="str">
        <f t="shared" ref="M106:M124" si="8">D62&amp;" - "&amp;D106</f>
        <v>bottle_PE_WG_INC_mass_incineration - bottle_PE_INC_ASH_mass_incineration</v>
      </c>
      <c r="N106" s="12" t="s">
        <v>1005</v>
      </c>
    </row>
    <row r="107" spans="1:41" x14ac:dyDescent="0.2">
      <c r="A107" s="12"/>
      <c r="B107" s="220"/>
      <c r="C107" s="6" t="str">
        <f t="shared" si="5"/>
        <v>PP</v>
      </c>
      <c r="D107" t="s">
        <v>2290</v>
      </c>
      <c r="E107">
        <f>$C$94*E63</f>
        <v>0</v>
      </c>
      <c r="F107" t="str">
        <f t="shared" ref="F107:F124" si="9">F106</f>
        <v>kg ww</v>
      </c>
      <c r="G107" s="32" t="str">
        <f t="shared" si="6"/>
        <v>ash_bottle_mass * bottle_PP_WG_INC_mass_incineration</v>
      </c>
      <c r="H107" s="221"/>
      <c r="I107" s="6" t="str">
        <f t="shared" si="7"/>
        <v>PP</v>
      </c>
      <c r="J107" t="s">
        <v>2310</v>
      </c>
      <c r="K107" s="33">
        <f t="shared" si="4"/>
        <v>0</v>
      </c>
      <c r="L107" t="str">
        <f t="shared" ref="L107:L124" si="10">L106</f>
        <v>kg ww</v>
      </c>
      <c r="M107" t="str">
        <f t="shared" si="8"/>
        <v>bottle_PP_WG_INC_mass_incineration - bottle_PP_INC_ASH_mass_incineration</v>
      </c>
      <c r="N107" s="12" t="s">
        <v>1005</v>
      </c>
    </row>
    <row r="108" spans="1:41" x14ac:dyDescent="0.2">
      <c r="A108" s="12"/>
      <c r="B108" s="220"/>
      <c r="C108" s="6" t="str">
        <f t="shared" si="5"/>
        <v>PS</v>
      </c>
      <c r="D108" t="s">
        <v>2291</v>
      </c>
      <c r="E108">
        <f>$C$94*E64</f>
        <v>0</v>
      </c>
      <c r="F108" t="str">
        <f t="shared" si="9"/>
        <v>kg ww</v>
      </c>
      <c r="G108" s="32" t="str">
        <f t="shared" si="6"/>
        <v>ash_bottle_mass * bottle_PS_WG_INC_mass_incineration</v>
      </c>
      <c r="H108" s="221"/>
      <c r="I108" s="6" t="str">
        <f t="shared" si="7"/>
        <v>PS</v>
      </c>
      <c r="J108" t="s">
        <v>2311</v>
      </c>
      <c r="K108" s="33">
        <f t="shared" si="4"/>
        <v>0</v>
      </c>
      <c r="L108" t="str">
        <f t="shared" si="10"/>
        <v>kg ww</v>
      </c>
      <c r="M108" t="str">
        <f t="shared" si="8"/>
        <v>bottle_PS_WG_INC_mass_incineration - bottle_PS_INC_ASH_mass_incineration</v>
      </c>
      <c r="N108" s="12" t="s">
        <v>1005</v>
      </c>
    </row>
    <row r="109" spans="1:41" s="2" customFormat="1" x14ac:dyDescent="0.2">
      <c r="A109" s="11"/>
      <c r="B109" s="220"/>
      <c r="C109" s="6" t="str">
        <f t="shared" si="5"/>
        <v>Other</v>
      </c>
      <c r="D109" t="s">
        <v>2292</v>
      </c>
      <c r="E109">
        <f>$C$94*E65</f>
        <v>0</v>
      </c>
      <c r="F109" t="str">
        <f t="shared" si="9"/>
        <v>kg ww</v>
      </c>
      <c r="G109" s="32" t="str">
        <f t="shared" si="6"/>
        <v>ash_bottle_mass * bottle_Oth_WG_INC_mass_incineration</v>
      </c>
      <c r="H109" s="221"/>
      <c r="I109" s="6" t="str">
        <f t="shared" si="7"/>
        <v>Other</v>
      </c>
      <c r="J109" t="s">
        <v>2312</v>
      </c>
      <c r="K109" s="33">
        <f t="shared" si="4"/>
        <v>0</v>
      </c>
      <c r="L109" t="str">
        <f t="shared" si="10"/>
        <v>kg ww</v>
      </c>
      <c r="M109" t="str">
        <f t="shared" si="8"/>
        <v>bottle_Oth_WG_INC_mass_incineration - bottle_Oth_INC_ASH_mass_incineration</v>
      </c>
      <c r="N109" s="12" t="s">
        <v>1005</v>
      </c>
      <c r="AD109"/>
      <c r="AE109"/>
      <c r="AF109"/>
      <c r="AG109"/>
      <c r="AH109"/>
      <c r="AI109"/>
      <c r="AJ109"/>
      <c r="AK109"/>
      <c r="AL109"/>
      <c r="AM109"/>
      <c r="AN109"/>
      <c r="AO109"/>
    </row>
    <row r="110" spans="1:41" x14ac:dyDescent="0.2">
      <c r="A110" s="12"/>
      <c r="B110" s="220" t="s">
        <v>15</v>
      </c>
      <c r="C110" s="6" t="str">
        <f t="shared" si="5"/>
        <v>PET</v>
      </c>
      <c r="D110" t="s">
        <v>2293</v>
      </c>
      <c r="E110">
        <f>$C$95*E66</f>
        <v>0.85183999999999993</v>
      </c>
      <c r="F110" t="str">
        <f t="shared" si="9"/>
        <v>kg ww</v>
      </c>
      <c r="G110" s="32" t="str">
        <f>$B$95&amp;" * "&amp;D66</f>
        <v>ash_rigid_mass * rigid_PET_WG_INC_mass_incineration</v>
      </c>
      <c r="H110" s="221" t="s">
        <v>15</v>
      </c>
      <c r="I110" s="6" t="str">
        <f t="shared" si="7"/>
        <v>PET</v>
      </c>
      <c r="J110" t="s">
        <v>2313</v>
      </c>
      <c r="K110" s="33">
        <f t="shared" si="4"/>
        <v>39.148159999999997</v>
      </c>
      <c r="L110" t="str">
        <f t="shared" si="10"/>
        <v>kg ww</v>
      </c>
      <c r="M110" t="str">
        <f t="shared" si="8"/>
        <v>rigid_PET_WG_INC_mass_incineration - rigid_PET_INC_ASH_mass_incineration</v>
      </c>
      <c r="N110" s="12" t="s">
        <v>1005</v>
      </c>
    </row>
    <row r="111" spans="1:41" x14ac:dyDescent="0.2">
      <c r="A111" s="12"/>
      <c r="B111" s="220"/>
      <c r="C111" s="6" t="str">
        <f t="shared" si="5"/>
        <v>PE</v>
      </c>
      <c r="D111" t="s">
        <v>2294</v>
      </c>
      <c r="E111">
        <f>$C$95*E67</f>
        <v>0.63888</v>
      </c>
      <c r="F111" t="str">
        <f t="shared" si="9"/>
        <v>kg ww</v>
      </c>
      <c r="G111" s="32" t="str">
        <f t="shared" ref="G111:G114" si="11">$B$95&amp;" * "&amp;D67</f>
        <v>ash_rigid_mass * rigid_PE_WG_INC_mass_incineration</v>
      </c>
      <c r="H111" s="221"/>
      <c r="I111" s="6" t="str">
        <f t="shared" si="7"/>
        <v>PE</v>
      </c>
      <c r="J111" t="s">
        <v>2314</v>
      </c>
      <c r="K111" s="33">
        <f t="shared" si="4"/>
        <v>29.36112</v>
      </c>
      <c r="L111" t="str">
        <f t="shared" si="10"/>
        <v>kg ww</v>
      </c>
      <c r="M111" t="str">
        <f t="shared" si="8"/>
        <v>rigid_PE_WG_INC_mass_incineration - rigid_PE_INC_ASH_mass_incineration</v>
      </c>
      <c r="N111" s="12" t="s">
        <v>1005</v>
      </c>
    </row>
    <row r="112" spans="1:41" x14ac:dyDescent="0.2">
      <c r="A112" s="12"/>
      <c r="B112" s="220"/>
      <c r="C112" s="6" t="str">
        <f t="shared" si="5"/>
        <v>PP</v>
      </c>
      <c r="D112" t="s">
        <v>2295</v>
      </c>
      <c r="E112">
        <f>$C$95*E68</f>
        <v>1.4907199999999998</v>
      </c>
      <c r="F112" t="str">
        <f t="shared" si="9"/>
        <v>kg ww</v>
      </c>
      <c r="G112" s="32" t="str">
        <f t="shared" si="11"/>
        <v>ash_rigid_mass * rigid_PP_WG_INC_mass_incineration</v>
      </c>
      <c r="H112" s="221"/>
      <c r="I112" s="6" t="str">
        <f t="shared" si="7"/>
        <v>PP</v>
      </c>
      <c r="J112" t="s">
        <v>2315</v>
      </c>
      <c r="K112" s="33">
        <f t="shared" si="4"/>
        <v>68.509280000000004</v>
      </c>
      <c r="L112" t="str">
        <f t="shared" si="10"/>
        <v>kg ww</v>
      </c>
      <c r="M112" t="str">
        <f t="shared" si="8"/>
        <v>rigid_PP_WG_INC_mass_incineration - rigid_PP_INC_ASH_mass_incineration</v>
      </c>
      <c r="N112" s="12" t="s">
        <v>1005</v>
      </c>
    </row>
    <row r="113" spans="1:41" x14ac:dyDescent="0.2">
      <c r="A113" s="12"/>
      <c r="B113" s="220"/>
      <c r="C113" s="6" t="str">
        <f t="shared" si="5"/>
        <v>PS</v>
      </c>
      <c r="D113" t="s">
        <v>2296</v>
      </c>
      <c r="E113">
        <f>$C$95*E69</f>
        <v>0.21295999999999998</v>
      </c>
      <c r="F113" t="str">
        <f t="shared" si="9"/>
        <v>kg ww</v>
      </c>
      <c r="G113" s="32" t="str">
        <f t="shared" si="11"/>
        <v>ash_rigid_mass * rigid_PS_WG_INC_mass_incineration</v>
      </c>
      <c r="H113" s="221"/>
      <c r="I113" s="6" t="str">
        <f t="shared" si="7"/>
        <v>PS</v>
      </c>
      <c r="J113" t="s">
        <v>2316</v>
      </c>
      <c r="K113" s="33">
        <f t="shared" si="4"/>
        <v>9.7870399999999993</v>
      </c>
      <c r="L113" t="str">
        <f t="shared" si="10"/>
        <v>kg ww</v>
      </c>
      <c r="M113" t="str">
        <f t="shared" si="8"/>
        <v>rigid_PS_WG_INC_mass_incineration - rigid_PS_INC_ASH_mass_incineration</v>
      </c>
      <c r="N113" s="12" t="s">
        <v>1005</v>
      </c>
    </row>
    <row r="114" spans="1:41" x14ac:dyDescent="0.2">
      <c r="A114" s="12"/>
      <c r="B114" s="220"/>
      <c r="C114" s="6" t="str">
        <f t="shared" si="5"/>
        <v>Other</v>
      </c>
      <c r="D114" t="s">
        <v>2297</v>
      </c>
      <c r="E114">
        <f>$C$95*E70</f>
        <v>1.0647999999999997</v>
      </c>
      <c r="F114" t="str">
        <f t="shared" si="9"/>
        <v>kg ww</v>
      </c>
      <c r="G114" s="32" t="str">
        <f t="shared" si="11"/>
        <v>ash_rigid_mass * rigid_Oth_WG_INC_mass_incineration</v>
      </c>
      <c r="H114" s="221"/>
      <c r="I114" s="6" t="str">
        <f t="shared" si="7"/>
        <v>Other</v>
      </c>
      <c r="J114" t="s">
        <v>2317</v>
      </c>
      <c r="K114" s="33">
        <f t="shared" si="4"/>
        <v>48.935199999999988</v>
      </c>
      <c r="L114" t="str">
        <f t="shared" si="10"/>
        <v>kg ww</v>
      </c>
      <c r="M114" t="str">
        <f t="shared" si="8"/>
        <v>rigid_Oth_WG_INC_mass_incineration - rigid_Oth_INC_ASH_mass_incineration</v>
      </c>
      <c r="N114" s="12" t="s">
        <v>1005</v>
      </c>
    </row>
    <row r="115" spans="1:41" x14ac:dyDescent="0.2">
      <c r="A115" s="12"/>
      <c r="B115" s="220" t="s">
        <v>42</v>
      </c>
      <c r="C115" s="6" t="str">
        <f t="shared" si="5"/>
        <v>PET</v>
      </c>
      <c r="D115" t="s">
        <v>2298</v>
      </c>
      <c r="E115">
        <f>$C$96*E71</f>
        <v>0</v>
      </c>
      <c r="F115" t="str">
        <f t="shared" si="9"/>
        <v>kg ww</v>
      </c>
      <c r="G115" s="32" t="str">
        <f>$B$96&amp;" * "&amp;D71</f>
        <v>ash_soft_mass * soft_PET_WG_INC_mass_incineration</v>
      </c>
      <c r="H115" s="221" t="s">
        <v>42</v>
      </c>
      <c r="I115" s="6" t="str">
        <f t="shared" si="7"/>
        <v>PET</v>
      </c>
      <c r="J115" t="s">
        <v>2318</v>
      </c>
      <c r="K115" s="33">
        <f t="shared" si="4"/>
        <v>0</v>
      </c>
      <c r="L115" t="str">
        <f t="shared" si="10"/>
        <v>kg ww</v>
      </c>
      <c r="M115" t="str">
        <f t="shared" si="8"/>
        <v>soft_PET_WG_INC_mass_incineration - soft_PET_INC_ASH_mass_incineration</v>
      </c>
      <c r="N115" s="12" t="s">
        <v>1005</v>
      </c>
    </row>
    <row r="116" spans="1:41" x14ac:dyDescent="0.2">
      <c r="A116" s="12"/>
      <c r="B116" s="220"/>
      <c r="C116" s="6" t="str">
        <f t="shared" si="5"/>
        <v>PE</v>
      </c>
      <c r="D116" t="s">
        <v>2299</v>
      </c>
      <c r="E116">
        <f>$C$96*E72</f>
        <v>11.337480000000001</v>
      </c>
      <c r="F116" t="str">
        <f t="shared" si="9"/>
        <v>kg ww</v>
      </c>
      <c r="G116" s="32" t="str">
        <f t="shared" ref="G116:G119" si="12">$B$96&amp;" * "&amp;D72</f>
        <v>ash_soft_mass * soft_PE_WG_INC_mass_incineration</v>
      </c>
      <c r="H116" s="221"/>
      <c r="I116" s="6" t="str">
        <f t="shared" si="7"/>
        <v>PE</v>
      </c>
      <c r="J116" t="s">
        <v>2319</v>
      </c>
      <c r="K116" s="33">
        <f t="shared" si="4"/>
        <v>288.66251999999997</v>
      </c>
      <c r="L116" t="str">
        <f t="shared" si="10"/>
        <v>kg ww</v>
      </c>
      <c r="M116" t="str">
        <f t="shared" si="8"/>
        <v>soft_PE_WG_INC_mass_incineration - soft_PE_INC_ASH_mass_incineration</v>
      </c>
      <c r="N116" s="12" t="s">
        <v>1005</v>
      </c>
    </row>
    <row r="117" spans="1:41" x14ac:dyDescent="0.2">
      <c r="A117" s="12"/>
      <c r="B117" s="220"/>
      <c r="C117" s="6" t="str">
        <f t="shared" si="5"/>
        <v>PP</v>
      </c>
      <c r="D117" t="s">
        <v>2300</v>
      </c>
      <c r="E117">
        <f>$C$96*E73</f>
        <v>0</v>
      </c>
      <c r="F117" t="str">
        <f t="shared" si="9"/>
        <v>kg ww</v>
      </c>
      <c r="G117" s="32" t="str">
        <f t="shared" si="12"/>
        <v>ash_soft_mass * soft_PP_WG_INC_mass_incineration</v>
      </c>
      <c r="H117" s="221"/>
      <c r="I117" s="6" t="str">
        <f t="shared" si="7"/>
        <v>PP</v>
      </c>
      <c r="J117" t="s">
        <v>2320</v>
      </c>
      <c r="K117" s="33">
        <f t="shared" si="4"/>
        <v>0</v>
      </c>
      <c r="L117" t="str">
        <f t="shared" si="10"/>
        <v>kg ww</v>
      </c>
      <c r="M117" t="str">
        <f t="shared" si="8"/>
        <v>soft_PP_WG_INC_mass_incineration - soft_PP_INC_ASH_mass_incineration</v>
      </c>
      <c r="N117" s="12" t="s">
        <v>1005</v>
      </c>
    </row>
    <row r="118" spans="1:41" x14ac:dyDescent="0.2">
      <c r="A118" s="12"/>
      <c r="B118" s="220"/>
      <c r="C118" s="6" t="str">
        <f t="shared" si="5"/>
        <v>PS</v>
      </c>
      <c r="D118" t="s">
        <v>2301</v>
      </c>
      <c r="E118">
        <f>$C$96*E74</f>
        <v>0</v>
      </c>
      <c r="F118" t="str">
        <f t="shared" si="9"/>
        <v>kg ww</v>
      </c>
      <c r="G118" s="32" t="str">
        <f t="shared" si="12"/>
        <v>ash_soft_mass * soft_PS_WG_INC_mass_incineration</v>
      </c>
      <c r="H118" s="221"/>
      <c r="I118" s="6" t="str">
        <f t="shared" si="7"/>
        <v>PS</v>
      </c>
      <c r="J118" t="s">
        <v>2321</v>
      </c>
      <c r="K118" s="33">
        <f t="shared" si="4"/>
        <v>0</v>
      </c>
      <c r="L118" t="str">
        <f t="shared" si="10"/>
        <v>kg ww</v>
      </c>
      <c r="M118" t="str">
        <f t="shared" si="8"/>
        <v>soft_PS_WG_INC_mass_incineration - soft_PS_INC_ASH_mass_incineration</v>
      </c>
      <c r="N118" s="12" t="s">
        <v>1005</v>
      </c>
    </row>
    <row r="119" spans="1:41" x14ac:dyDescent="0.2">
      <c r="A119" s="12"/>
      <c r="B119" s="220"/>
      <c r="C119" s="6" t="str">
        <f t="shared" si="5"/>
        <v>Other</v>
      </c>
      <c r="D119" t="s">
        <v>2302</v>
      </c>
      <c r="E119">
        <f>$C$96*E75</f>
        <v>3.7791600000000014</v>
      </c>
      <c r="F119" t="str">
        <f t="shared" si="9"/>
        <v>kg ww</v>
      </c>
      <c r="G119" s="32" t="str">
        <f t="shared" si="12"/>
        <v>ash_soft_mass * soft_Oth_WG_INC_mass_incineration</v>
      </c>
      <c r="H119" s="221"/>
      <c r="I119" s="6" t="str">
        <f t="shared" si="7"/>
        <v>Other</v>
      </c>
      <c r="J119" t="s">
        <v>2322</v>
      </c>
      <c r="K119" s="33">
        <f t="shared" si="4"/>
        <v>96.220840000000024</v>
      </c>
      <c r="L119" t="str">
        <f t="shared" si="10"/>
        <v>kg ww</v>
      </c>
      <c r="M119" t="str">
        <f t="shared" si="8"/>
        <v>soft_Oth_WG_INC_mass_incineration - soft_Oth_INC_ASH_mass_incineration</v>
      </c>
      <c r="N119" s="12" t="s">
        <v>1005</v>
      </c>
    </row>
    <row r="120" spans="1:41" s="2" customFormat="1" x14ac:dyDescent="0.2">
      <c r="A120" s="11"/>
      <c r="B120" s="220" t="s">
        <v>19</v>
      </c>
      <c r="C120" s="6" t="str">
        <f t="shared" si="5"/>
        <v>PET</v>
      </c>
      <c r="D120" t="s">
        <v>2303</v>
      </c>
      <c r="E120">
        <f>$C$97*E76</f>
        <v>0</v>
      </c>
      <c r="F120" t="str">
        <f t="shared" si="9"/>
        <v>kg ww</v>
      </c>
      <c r="G120" s="32" t="str">
        <f>$B$97&amp;" * "&amp;D76</f>
        <v>ash_nonrec_mass * other_PET_WG_INC_mass_incineration</v>
      </c>
      <c r="H120" s="221" t="s">
        <v>19</v>
      </c>
      <c r="I120" s="6" t="str">
        <f t="shared" si="7"/>
        <v>PET</v>
      </c>
      <c r="J120" t="s">
        <v>2323</v>
      </c>
      <c r="K120" s="33">
        <f t="shared" si="4"/>
        <v>0</v>
      </c>
      <c r="L120" t="str">
        <f t="shared" si="10"/>
        <v>kg ww</v>
      </c>
      <c r="M120" t="str">
        <f t="shared" si="8"/>
        <v>other_PET_WG_INC_mass_incineration - other_PET_INC_ASH_mass_incineration</v>
      </c>
      <c r="N120" s="12" t="s">
        <v>1005</v>
      </c>
      <c r="AD120"/>
      <c r="AE120"/>
      <c r="AF120"/>
      <c r="AG120"/>
      <c r="AH120"/>
      <c r="AI120"/>
      <c r="AJ120"/>
      <c r="AK120"/>
      <c r="AL120"/>
      <c r="AM120"/>
      <c r="AN120"/>
      <c r="AO120"/>
    </row>
    <row r="121" spans="1:41" x14ac:dyDescent="0.2">
      <c r="A121" s="12"/>
      <c r="B121" s="220"/>
      <c r="C121" s="6" t="str">
        <f t="shared" si="5"/>
        <v>PE</v>
      </c>
      <c r="D121" t="s">
        <v>2304</v>
      </c>
      <c r="E121">
        <f>$C$97*E77</f>
        <v>0</v>
      </c>
      <c r="F121" t="str">
        <f t="shared" si="9"/>
        <v>kg ww</v>
      </c>
      <c r="G121" s="32" t="str">
        <f t="shared" ref="G121:G124" si="13">$B$97&amp;" * "&amp;D77</f>
        <v>ash_nonrec_mass * other_PE_WG_INC_mass_incineration</v>
      </c>
      <c r="H121" s="221"/>
      <c r="I121" s="6" t="str">
        <f t="shared" si="7"/>
        <v>PE</v>
      </c>
      <c r="J121" t="s">
        <v>2324</v>
      </c>
      <c r="K121" s="33">
        <f t="shared" si="4"/>
        <v>0</v>
      </c>
      <c r="L121" t="str">
        <f t="shared" si="10"/>
        <v>kg ww</v>
      </c>
      <c r="M121" t="str">
        <f t="shared" si="8"/>
        <v>other_PE_WG_INC_mass_incineration - other_PE_INC_ASH_mass_incineration</v>
      </c>
      <c r="N121" s="12" t="s">
        <v>1005</v>
      </c>
    </row>
    <row r="122" spans="1:41" x14ac:dyDescent="0.2">
      <c r="A122" s="12"/>
      <c r="B122" s="220"/>
      <c r="C122" s="6" t="str">
        <f t="shared" si="5"/>
        <v>PP</v>
      </c>
      <c r="D122" t="s">
        <v>2305</v>
      </c>
      <c r="E122">
        <f>$C$97*E78</f>
        <v>0</v>
      </c>
      <c r="F122" t="str">
        <f t="shared" si="9"/>
        <v>kg ww</v>
      </c>
      <c r="G122" s="32" t="str">
        <f t="shared" si="13"/>
        <v>ash_nonrec_mass * other_PP_WG_INC_mass_incineration</v>
      </c>
      <c r="H122" s="221"/>
      <c r="I122" s="6" t="str">
        <f t="shared" si="7"/>
        <v>PP</v>
      </c>
      <c r="J122" t="s">
        <v>2325</v>
      </c>
      <c r="K122" s="33">
        <f t="shared" si="4"/>
        <v>0</v>
      </c>
      <c r="L122" t="str">
        <f t="shared" si="10"/>
        <v>kg ww</v>
      </c>
      <c r="M122" t="str">
        <f t="shared" si="8"/>
        <v>other_PP_WG_INC_mass_incineration - other_PP_INC_ASH_mass_incineration</v>
      </c>
      <c r="N122" s="12" t="s">
        <v>1005</v>
      </c>
    </row>
    <row r="123" spans="1:41" x14ac:dyDescent="0.2">
      <c r="A123" s="12"/>
      <c r="B123" s="220"/>
      <c r="C123" s="6" t="str">
        <f t="shared" si="5"/>
        <v>PS</v>
      </c>
      <c r="D123" t="s">
        <v>2306</v>
      </c>
      <c r="E123">
        <f>$C$97*E79</f>
        <v>0</v>
      </c>
      <c r="F123" t="str">
        <f t="shared" si="9"/>
        <v>kg ww</v>
      </c>
      <c r="G123" s="32" t="str">
        <f t="shared" si="13"/>
        <v>ash_nonrec_mass * other_PS_WG_INC_mass_incineration</v>
      </c>
      <c r="H123" s="221"/>
      <c r="I123" s="6" t="str">
        <f t="shared" si="7"/>
        <v>PS</v>
      </c>
      <c r="J123" t="s">
        <v>2326</v>
      </c>
      <c r="K123" s="33">
        <f t="shared" si="4"/>
        <v>0</v>
      </c>
      <c r="L123" t="str">
        <f t="shared" si="10"/>
        <v>kg ww</v>
      </c>
      <c r="M123" t="str">
        <f t="shared" si="8"/>
        <v>other_PS_WG_INC_mass_incineration - other_PS_INC_ASH_mass_incineration</v>
      </c>
      <c r="N123" s="12" t="s">
        <v>1005</v>
      </c>
    </row>
    <row r="124" spans="1:41" x14ac:dyDescent="0.2">
      <c r="A124" s="12"/>
      <c r="B124" s="220"/>
      <c r="C124" s="6" t="str">
        <f t="shared" si="5"/>
        <v>Other</v>
      </c>
      <c r="D124" t="s">
        <v>2307</v>
      </c>
      <c r="E124">
        <f>$C$97*E80</f>
        <v>5.1094999999999962</v>
      </c>
      <c r="F124" t="str">
        <f t="shared" si="9"/>
        <v>kg ww</v>
      </c>
      <c r="G124" s="32" t="str">
        <f t="shared" si="13"/>
        <v>ash_nonrec_mass * other_Oth_WG_INC_mass_incineration</v>
      </c>
      <c r="H124" s="221"/>
      <c r="I124" s="6" t="str">
        <f t="shared" si="7"/>
        <v>Other</v>
      </c>
      <c r="J124" t="s">
        <v>2327</v>
      </c>
      <c r="K124" s="33">
        <f t="shared" si="4"/>
        <v>94.890499999999932</v>
      </c>
      <c r="L124" t="str">
        <f t="shared" si="10"/>
        <v>kg ww</v>
      </c>
      <c r="M124" t="str">
        <f t="shared" si="8"/>
        <v>other_Oth_WG_INC_mass_incineration - other_Oth_INC_ASH_mass_incineration</v>
      </c>
      <c r="N124" s="12" t="s">
        <v>1005</v>
      </c>
    </row>
    <row r="125" spans="1:41" ht="25" customHeight="1" x14ac:dyDescent="0.2">
      <c r="A125" s="12"/>
      <c r="B125" s="214" t="s">
        <v>166</v>
      </c>
      <c r="C125" s="214"/>
      <c r="D125" s="214"/>
      <c r="E125" s="214"/>
      <c r="F125" s="214"/>
      <c r="G125" s="214"/>
      <c r="H125" s="214"/>
      <c r="I125" s="214"/>
      <c r="J125" s="214"/>
      <c r="K125" s="214"/>
      <c r="L125" s="214"/>
      <c r="M125" s="214"/>
      <c r="N125" s="12"/>
    </row>
    <row r="126" spans="1:41" x14ac:dyDescent="0.2">
      <c r="A126" s="12"/>
      <c r="B126" s="2" t="str">
        <f>B82</f>
        <v>Patameter</v>
      </c>
      <c r="C126" s="2" t="str">
        <f>C82</f>
        <v>Value</v>
      </c>
      <c r="D126" s="2" t="str">
        <f>D82</f>
        <v>Unit</v>
      </c>
      <c r="E126" s="2" t="str">
        <f>E82</f>
        <v>Description</v>
      </c>
      <c r="F126" s="2"/>
      <c r="G126" s="1"/>
      <c r="H126" s="2" t="str">
        <f>B126</f>
        <v>Patameter</v>
      </c>
      <c r="I126" s="2" t="str">
        <f>C126</f>
        <v>Value</v>
      </c>
      <c r="J126" s="2" t="str">
        <f t="shared" ref="J126:K126" si="14">D126</f>
        <v>Unit</v>
      </c>
      <c r="K126" s="2" t="str">
        <f t="shared" si="14"/>
        <v>Description</v>
      </c>
      <c r="L126" s="2"/>
      <c r="M126" s="2"/>
      <c r="N126" s="12"/>
    </row>
    <row r="127" spans="1:41" x14ac:dyDescent="0.2">
      <c r="A127" s="12"/>
      <c r="B127" t="s">
        <v>2527</v>
      </c>
      <c r="C127">
        <f>SUM(E105:E109)</f>
        <v>16.378499999999999</v>
      </c>
      <c r="D127" t="s">
        <v>126</v>
      </c>
      <c r="E127" t="s">
        <v>1202</v>
      </c>
      <c r="G127" s="32"/>
      <c r="H127" t="s">
        <v>2532</v>
      </c>
      <c r="I127" s="33">
        <f>SUM(K105:K109)</f>
        <v>283.62149999999997</v>
      </c>
      <c r="J127" t="s">
        <v>10</v>
      </c>
      <c r="K127" t="s">
        <v>1207</v>
      </c>
      <c r="N127" s="12"/>
    </row>
    <row r="128" spans="1:41" x14ac:dyDescent="0.2">
      <c r="A128" s="12"/>
      <c r="B128" t="s">
        <v>2528</v>
      </c>
      <c r="C128">
        <f>SUM(E110:E114)</f>
        <v>4.2591999999999999</v>
      </c>
      <c r="D128" t="str">
        <f>D127</f>
        <v xml:space="preserve">kg </v>
      </c>
      <c r="E128" t="s">
        <v>1203</v>
      </c>
      <c r="G128" s="32"/>
      <c r="H128" t="s">
        <v>2533</v>
      </c>
      <c r="I128" s="33">
        <f>SUM(K110:K114)</f>
        <v>195.74079999999995</v>
      </c>
      <c r="J128" t="str">
        <f>J127</f>
        <v>kg ww</v>
      </c>
      <c r="K128" t="s">
        <v>1208</v>
      </c>
      <c r="N128" s="12"/>
    </row>
    <row r="129" spans="1:41" x14ac:dyDescent="0.2">
      <c r="A129" s="12"/>
      <c r="B129" t="s">
        <v>2529</v>
      </c>
      <c r="C129">
        <f>SUM(E115:E119)</f>
        <v>15.116640000000002</v>
      </c>
      <c r="D129" t="str">
        <f t="shared" ref="D129" si="15">D128</f>
        <v xml:space="preserve">kg </v>
      </c>
      <c r="E129" t="s">
        <v>1204</v>
      </c>
      <c r="G129" s="32"/>
      <c r="H129" t="s">
        <v>2534</v>
      </c>
      <c r="I129" s="33">
        <f>SUM(K115:K119)</f>
        <v>384.88335999999998</v>
      </c>
      <c r="J129" t="str">
        <f t="shared" ref="J129:J130" si="16">J128</f>
        <v>kg ww</v>
      </c>
      <c r="K129" t="s">
        <v>1209</v>
      </c>
      <c r="N129" s="12"/>
    </row>
    <row r="130" spans="1:41" s="2" customFormat="1" ht="16" thickBot="1" x14ac:dyDescent="0.25">
      <c r="A130" s="11"/>
      <c r="B130" s="8" t="s">
        <v>2530</v>
      </c>
      <c r="C130" s="8">
        <f>SUM(E120:E124)</f>
        <v>5.1094999999999962</v>
      </c>
      <c r="D130" s="8" t="str">
        <f>D129</f>
        <v xml:space="preserve">kg </v>
      </c>
      <c r="E130" s="8" t="s">
        <v>1205</v>
      </c>
      <c r="F130" s="8"/>
      <c r="G130" s="87"/>
      <c r="H130" s="8" t="s">
        <v>2535</v>
      </c>
      <c r="I130" s="34">
        <f>SUM(K120:K124)</f>
        <v>94.890499999999932</v>
      </c>
      <c r="J130" s="8" t="str">
        <f t="shared" si="16"/>
        <v>kg ww</v>
      </c>
      <c r="K130" s="8" t="s">
        <v>1210</v>
      </c>
      <c r="L130" s="8"/>
      <c r="M130" s="8"/>
      <c r="N130" s="11"/>
      <c r="AD130"/>
      <c r="AE130"/>
      <c r="AF130"/>
      <c r="AG130"/>
      <c r="AH130"/>
      <c r="AI130"/>
      <c r="AJ130"/>
      <c r="AK130"/>
      <c r="AL130"/>
      <c r="AM130"/>
      <c r="AN130"/>
      <c r="AO130"/>
    </row>
    <row r="131" spans="1:41" ht="16" thickTop="1" x14ac:dyDescent="0.2">
      <c r="A131" s="12"/>
      <c r="B131" s="44" t="s">
        <v>2531</v>
      </c>
      <c r="C131" s="44">
        <f>SUM(C127:C130)</f>
        <v>40.863839999999996</v>
      </c>
      <c r="D131" s="44" t="str">
        <f>D129</f>
        <v xml:space="preserve">kg </v>
      </c>
      <c r="E131" s="44" t="s">
        <v>2568</v>
      </c>
      <c r="F131" s="44"/>
      <c r="G131" s="61"/>
      <c r="H131" s="44" t="s">
        <v>2536</v>
      </c>
      <c r="I131" s="62">
        <f>SUM(I127:I130)</f>
        <v>959.13615999999979</v>
      </c>
      <c r="J131" s="44" t="str">
        <f>J129</f>
        <v>kg ww</v>
      </c>
      <c r="K131" s="44" t="s">
        <v>2569</v>
      </c>
      <c r="L131" s="44"/>
      <c r="M131" s="44"/>
      <c r="N131" s="12"/>
    </row>
    <row r="132" spans="1:41" x14ac:dyDescent="0.2">
      <c r="A132" s="12"/>
      <c r="B132" s="125" t="s">
        <v>2704</v>
      </c>
      <c r="C132" s="125" t="str">
        <f>IF(C131+I131=C87,"true")</f>
        <v>true</v>
      </c>
      <c r="D132" s="125"/>
      <c r="E132" s="125"/>
      <c r="F132" s="125"/>
      <c r="G132" s="125"/>
      <c r="H132" s="125"/>
      <c r="I132" s="125"/>
      <c r="J132" s="125"/>
      <c r="K132" s="125"/>
      <c r="L132" s="125"/>
      <c r="M132" s="125"/>
      <c r="N132" s="12"/>
    </row>
    <row r="133" spans="1:41" x14ac:dyDescent="0.2">
      <c r="A133" s="12"/>
      <c r="B133" s="12"/>
      <c r="C133" s="12"/>
      <c r="D133" s="12"/>
      <c r="E133" s="12"/>
      <c r="F133" s="12"/>
      <c r="G133" s="12"/>
      <c r="H133" s="12"/>
      <c r="I133" s="12"/>
      <c r="J133" s="12"/>
      <c r="K133" s="12"/>
      <c r="L133" s="12"/>
      <c r="M133" s="12"/>
      <c r="N133" s="12"/>
    </row>
    <row r="134" spans="1:41" x14ac:dyDescent="0.2">
      <c r="A134" s="12"/>
      <c r="B134" s="12"/>
      <c r="C134" s="12"/>
      <c r="D134" s="131"/>
      <c r="E134" s="131"/>
      <c r="F134" s="12"/>
      <c r="G134" s="12"/>
      <c r="H134" s="12"/>
      <c r="I134" s="12"/>
      <c r="J134" s="12"/>
      <c r="K134" s="12"/>
      <c r="L134" s="12"/>
      <c r="M134" s="12"/>
      <c r="N134" s="12"/>
    </row>
    <row r="135" spans="1:41" x14ac:dyDescent="0.2">
      <c r="A135" s="12"/>
      <c r="B135" s="12"/>
      <c r="C135" s="12"/>
      <c r="D135" s="12"/>
      <c r="E135" s="12"/>
      <c r="F135" s="12"/>
      <c r="G135" s="12"/>
      <c r="H135" s="12"/>
      <c r="I135" s="12"/>
      <c r="J135" s="12"/>
      <c r="K135" s="12"/>
      <c r="L135" s="12"/>
      <c r="M135" s="12"/>
      <c r="N135" s="12"/>
    </row>
    <row r="136" spans="1:41" ht="25" customHeight="1" x14ac:dyDescent="0.2">
      <c r="A136" s="12"/>
      <c r="B136" s="214" t="s">
        <v>143</v>
      </c>
      <c r="C136" s="214"/>
      <c r="D136" s="214"/>
      <c r="E136" s="214"/>
      <c r="F136" s="214"/>
      <c r="G136" s="214"/>
      <c r="H136" s="214"/>
      <c r="I136" s="214"/>
      <c r="J136" s="214"/>
      <c r="K136" s="214"/>
      <c r="L136" s="214"/>
      <c r="M136" s="214"/>
      <c r="N136" s="12"/>
    </row>
    <row r="137" spans="1:41" x14ac:dyDescent="0.2">
      <c r="A137" s="12"/>
      <c r="B137" s="114" t="str">
        <f>B93</f>
        <v>Parameters</v>
      </c>
      <c r="C137" s="114" t="str">
        <f>C93</f>
        <v>Value (average)</v>
      </c>
      <c r="D137" s="114" t="str">
        <f>F93</f>
        <v>Unit</v>
      </c>
      <c r="E137" s="114" t="s">
        <v>5</v>
      </c>
      <c r="F137" s="114" t="s">
        <v>6</v>
      </c>
      <c r="G137" s="114" t="s">
        <v>7</v>
      </c>
      <c r="H137" s="114" t="s">
        <v>112</v>
      </c>
      <c r="I137" s="106"/>
      <c r="J137" s="106"/>
      <c r="K137" s="106"/>
      <c r="L137" s="106"/>
      <c r="M137" s="106"/>
      <c r="N137" s="12"/>
    </row>
    <row r="138" spans="1:41" x14ac:dyDescent="0.2">
      <c r="A138" s="12"/>
      <c r="B138" s="106" t="str">
        <f>'info, structure, parameters'!A188</f>
        <v>CC_efficiency</v>
      </c>
      <c r="C138" s="106">
        <f>'info, structure, parameters'!B188</f>
        <v>0.9</v>
      </c>
      <c r="D138" s="106" t="str">
        <f>'info, structure, parameters'!C188</f>
        <v>%</v>
      </c>
      <c r="E138" s="106">
        <f>'info, structure, parameters'!D188</f>
        <v>0.85</v>
      </c>
      <c r="F138" s="106">
        <f>'info, structure, parameters'!E188</f>
        <v>0.9</v>
      </c>
      <c r="G138" s="106" t="str">
        <f>'info, structure, parameters'!F188</f>
        <v>Carbon capture efficiency</v>
      </c>
      <c r="H138" s="106">
        <f>'info, structure, parameters'!G188</f>
        <v>4</v>
      </c>
      <c r="I138" s="106"/>
      <c r="J138" s="106"/>
      <c r="K138" s="106"/>
      <c r="L138" s="106"/>
      <c r="M138" s="106"/>
      <c r="N138" s="12"/>
    </row>
    <row r="139" spans="1:41" ht="25" customHeight="1" x14ac:dyDescent="0.2">
      <c r="A139" s="12"/>
      <c r="B139" s="214" t="s">
        <v>146</v>
      </c>
      <c r="C139" s="214"/>
      <c r="D139" s="214"/>
      <c r="E139" s="214"/>
      <c r="F139" s="214"/>
      <c r="G139" s="214"/>
      <c r="H139" s="214"/>
      <c r="I139" s="214"/>
      <c r="J139" s="214"/>
      <c r="K139" s="214"/>
      <c r="L139" s="214"/>
      <c r="M139" s="214"/>
      <c r="N139" s="12"/>
    </row>
    <row r="140" spans="1:41" s="2" customFormat="1" ht="25" customHeight="1" x14ac:dyDescent="0.2">
      <c r="A140" s="11"/>
      <c r="B140" s="214" t="s">
        <v>147</v>
      </c>
      <c r="C140" s="214"/>
      <c r="D140" s="214"/>
      <c r="E140" s="214"/>
      <c r="F140" s="214"/>
      <c r="G140" s="223"/>
      <c r="H140" s="214" t="s">
        <v>148</v>
      </c>
      <c r="I140" s="214"/>
      <c r="J140" s="214"/>
      <c r="K140" s="214"/>
      <c r="L140" s="214"/>
      <c r="M140" s="214"/>
      <c r="N140" s="11"/>
      <c r="AD140"/>
      <c r="AE140"/>
      <c r="AF140"/>
      <c r="AG140"/>
      <c r="AH140"/>
      <c r="AI140"/>
      <c r="AJ140"/>
      <c r="AK140"/>
      <c r="AL140"/>
      <c r="AM140"/>
      <c r="AN140"/>
      <c r="AO140"/>
    </row>
    <row r="141" spans="1:41" s="2" customFormat="1" x14ac:dyDescent="0.2">
      <c r="A141" s="11"/>
      <c r="B141" s="2" t="s">
        <v>21</v>
      </c>
      <c r="C141" s="2" t="s">
        <v>20</v>
      </c>
      <c r="D141" s="2" t="s">
        <v>99</v>
      </c>
      <c r="E141" s="2" t="s">
        <v>3</v>
      </c>
      <c r="F141" s="2" t="s">
        <v>4</v>
      </c>
      <c r="G141" s="4" t="s">
        <v>43</v>
      </c>
      <c r="H141" s="2" t="str">
        <f>B141</f>
        <v>Fraction</v>
      </c>
      <c r="I141" s="2" t="str">
        <f t="shared" ref="I141:L141" si="17">C141</f>
        <v>Sub-fraction</v>
      </c>
      <c r="J141" s="2" t="str">
        <f t="shared" si="17"/>
        <v>Name</v>
      </c>
      <c r="K141" s="2" t="str">
        <f t="shared" si="17"/>
        <v>Value</v>
      </c>
      <c r="L141" s="2" t="str">
        <f t="shared" si="17"/>
        <v>Unit</v>
      </c>
      <c r="M141" s="2" t="str">
        <f>G141</f>
        <v>Equation</v>
      </c>
      <c r="N141" s="11"/>
      <c r="AD141"/>
      <c r="AE141"/>
      <c r="AF141"/>
      <c r="AG141"/>
      <c r="AH141"/>
      <c r="AI141"/>
      <c r="AJ141"/>
      <c r="AK141"/>
      <c r="AL141"/>
      <c r="AM141"/>
      <c r="AN141"/>
      <c r="AO141"/>
    </row>
    <row r="142" spans="1:41" s="2" customFormat="1" x14ac:dyDescent="0.2">
      <c r="A142" s="11"/>
      <c r="B142" s="221" t="s">
        <v>14</v>
      </c>
      <c r="C142" s="6" t="str">
        <f>C105</f>
        <v>PET</v>
      </c>
      <c r="D142" t="s">
        <v>2328</v>
      </c>
      <c r="E142" s="33">
        <f>$C$138*K222</f>
        <v>142.28351999999998</v>
      </c>
      <c r="F142" t="s">
        <v>10</v>
      </c>
      <c r="G142" s="32" t="str">
        <f>$B$138&amp;" * "&amp;J222</f>
        <v>CC_efficiency * bottle_PET_INC_AIR_carbon_incineration</v>
      </c>
      <c r="H142" s="221" t="str">
        <f>B142</f>
        <v>Bottle</v>
      </c>
      <c r="I142" s="6" t="str">
        <f>C142</f>
        <v>PET</v>
      </c>
      <c r="J142" t="s">
        <v>2348</v>
      </c>
      <c r="K142" s="33">
        <f>K105-E142</f>
        <v>75.159630000000021</v>
      </c>
      <c r="L142" t="s">
        <v>10</v>
      </c>
      <c r="M142" t="str">
        <f>J105&amp;" - "&amp;D142</f>
        <v>bottle_PET_INC_AIR_mass_incineration - bottle_PET_AIR_CCS_mass_incineration</v>
      </c>
      <c r="N142" s="11" t="s">
        <v>1005</v>
      </c>
      <c r="AD142"/>
      <c r="AE142"/>
      <c r="AF142"/>
      <c r="AG142"/>
      <c r="AH142"/>
      <c r="AI142"/>
      <c r="AJ142"/>
      <c r="AK142"/>
      <c r="AL142"/>
      <c r="AM142"/>
      <c r="AN142"/>
      <c r="AO142"/>
    </row>
    <row r="143" spans="1:41" x14ac:dyDescent="0.2">
      <c r="A143" s="12"/>
      <c r="B143" s="221"/>
      <c r="C143" s="6" t="str">
        <f t="shared" ref="C143:C161" si="18">C106</f>
        <v>PE</v>
      </c>
      <c r="D143" t="s">
        <v>2329</v>
      </c>
      <c r="E143" s="33">
        <f t="shared" ref="E143:E161" si="19">$C$138*K223</f>
        <v>43.30368</v>
      </c>
      <c r="F143" t="str">
        <f>F142</f>
        <v>kg ww</v>
      </c>
      <c r="G143" s="32" t="str">
        <f t="shared" ref="G143:G161" si="20">$B$138&amp;" * "&amp;J223</f>
        <v>CC_efficiency * bottle_PE_INC_AIR_carbon_incineration</v>
      </c>
      <c r="H143" s="221"/>
      <c r="I143" s="6" t="str">
        <f t="shared" ref="I143:I161" si="21">C143</f>
        <v>PE</v>
      </c>
      <c r="J143" t="s">
        <v>2349</v>
      </c>
      <c r="K143" s="33">
        <f t="shared" ref="K143:K161" si="22">K106-E143</f>
        <v>22.874669999999995</v>
      </c>
      <c r="L143" t="str">
        <f>L142</f>
        <v>kg ww</v>
      </c>
      <c r="M143" t="str">
        <f t="shared" ref="M143:M161" si="23">J106&amp;" - "&amp;D143</f>
        <v>bottle_PE_INC_AIR_mass_incineration - bottle_PE_AIR_CCS_mass_incineration</v>
      </c>
      <c r="N143" s="11" t="s">
        <v>1005</v>
      </c>
    </row>
    <row r="144" spans="1:41" x14ac:dyDescent="0.2">
      <c r="A144" s="12"/>
      <c r="B144" s="221"/>
      <c r="C144" s="6" t="str">
        <f t="shared" si="18"/>
        <v>PP</v>
      </c>
      <c r="D144" t="s">
        <v>2330</v>
      </c>
      <c r="E144" s="33">
        <f t="shared" si="19"/>
        <v>0</v>
      </c>
      <c r="F144" t="str">
        <f t="shared" ref="F144:F161" si="24">F143</f>
        <v>kg ww</v>
      </c>
      <c r="G144" s="32" t="str">
        <f t="shared" si="20"/>
        <v>CC_efficiency * bottle_PP_INC_AIR_carbon_incineration</v>
      </c>
      <c r="H144" s="221"/>
      <c r="I144" s="6" t="str">
        <f t="shared" si="21"/>
        <v>PP</v>
      </c>
      <c r="J144" t="s">
        <v>2350</v>
      </c>
      <c r="K144" s="33">
        <f t="shared" si="22"/>
        <v>0</v>
      </c>
      <c r="L144" t="str">
        <f t="shared" ref="L144:L161" si="25">L143</f>
        <v>kg ww</v>
      </c>
      <c r="M144" t="str">
        <f t="shared" si="23"/>
        <v>bottle_PP_INC_AIR_mass_incineration - bottle_PP_AIR_CCS_mass_incineration</v>
      </c>
      <c r="N144" s="11" t="s">
        <v>1005</v>
      </c>
    </row>
    <row r="145" spans="1:41" x14ac:dyDescent="0.2">
      <c r="A145" s="12"/>
      <c r="B145" s="221"/>
      <c r="C145" s="6" t="str">
        <f t="shared" si="18"/>
        <v>PS</v>
      </c>
      <c r="D145" t="s">
        <v>2331</v>
      </c>
      <c r="E145" s="33">
        <f t="shared" si="19"/>
        <v>0</v>
      </c>
      <c r="F145" t="str">
        <f t="shared" si="24"/>
        <v>kg ww</v>
      </c>
      <c r="G145" s="32" t="str">
        <f t="shared" si="20"/>
        <v>CC_efficiency * bottle_PS_INC_AIR_carbon_incineration</v>
      </c>
      <c r="H145" s="221"/>
      <c r="I145" s="6" t="str">
        <f t="shared" si="21"/>
        <v>PS</v>
      </c>
      <c r="J145" t="s">
        <v>2351</v>
      </c>
      <c r="K145" s="33">
        <f t="shared" si="22"/>
        <v>0</v>
      </c>
      <c r="L145" t="str">
        <f t="shared" si="25"/>
        <v>kg ww</v>
      </c>
      <c r="M145" t="str">
        <f t="shared" si="23"/>
        <v>bottle_PS_INC_AIR_mass_incineration - bottle_PS_AIR_CCS_mass_incineration</v>
      </c>
      <c r="N145" s="11" t="s">
        <v>1005</v>
      </c>
    </row>
    <row r="146" spans="1:41" x14ac:dyDescent="0.2">
      <c r="A146" s="12"/>
      <c r="B146" s="221"/>
      <c r="C146" s="6" t="str">
        <f t="shared" si="18"/>
        <v>Other</v>
      </c>
      <c r="D146" t="s">
        <v>2332</v>
      </c>
      <c r="E146" s="33">
        <f t="shared" si="19"/>
        <v>0</v>
      </c>
      <c r="F146" t="str">
        <f t="shared" si="24"/>
        <v>kg ww</v>
      </c>
      <c r="G146" s="32" t="str">
        <f t="shared" si="20"/>
        <v>CC_efficiency * bottle_Oth_INC_AIR_carbon_incineration</v>
      </c>
      <c r="H146" s="221"/>
      <c r="I146" s="6" t="str">
        <f t="shared" si="21"/>
        <v>Other</v>
      </c>
      <c r="J146" t="s">
        <v>2352</v>
      </c>
      <c r="K146" s="33">
        <f t="shared" si="22"/>
        <v>0</v>
      </c>
      <c r="L146" t="str">
        <f t="shared" si="25"/>
        <v>kg ww</v>
      </c>
      <c r="M146" t="str">
        <f t="shared" si="23"/>
        <v>bottle_Oth_INC_AIR_mass_incineration - bottle_Oth_AIR_CCS_mass_incineration</v>
      </c>
      <c r="N146" s="11" t="s">
        <v>1005</v>
      </c>
    </row>
    <row r="147" spans="1:41" x14ac:dyDescent="0.2">
      <c r="A147" s="12"/>
      <c r="B147" s="221" t="s">
        <v>15</v>
      </c>
      <c r="C147" s="6" t="str">
        <f t="shared" si="18"/>
        <v>PET</v>
      </c>
      <c r="D147" t="s">
        <v>2333</v>
      </c>
      <c r="E147" s="33">
        <f t="shared" si="19"/>
        <v>27.704160000000002</v>
      </c>
      <c r="F147" t="str">
        <f t="shared" si="24"/>
        <v>kg ww</v>
      </c>
      <c r="G147" s="32" t="str">
        <f t="shared" si="20"/>
        <v>CC_efficiency * rigid_PET_INC_AIR_carbon_incineration</v>
      </c>
      <c r="H147" s="221" t="s">
        <v>15</v>
      </c>
      <c r="I147" s="6" t="str">
        <f t="shared" si="21"/>
        <v>PET</v>
      </c>
      <c r="J147" t="s">
        <v>2353</v>
      </c>
      <c r="K147" s="33">
        <f t="shared" si="22"/>
        <v>11.443999999999996</v>
      </c>
      <c r="L147" t="str">
        <f t="shared" si="25"/>
        <v>kg ww</v>
      </c>
      <c r="M147" t="str">
        <f t="shared" si="23"/>
        <v>rigid_PET_INC_AIR_mass_incineration - rigid_PET_AIR_CCS_mass_incineration</v>
      </c>
      <c r="N147" s="11" t="s">
        <v>1005</v>
      </c>
    </row>
    <row r="148" spans="1:41" x14ac:dyDescent="0.2">
      <c r="A148" s="12"/>
      <c r="B148" s="221"/>
      <c r="C148" s="6" t="str">
        <f t="shared" si="18"/>
        <v>PE</v>
      </c>
      <c r="D148" t="s">
        <v>2334</v>
      </c>
      <c r="E148" s="33">
        <f t="shared" si="19"/>
        <v>20.778120000000001</v>
      </c>
      <c r="F148" t="str">
        <f t="shared" si="24"/>
        <v>kg ww</v>
      </c>
      <c r="G148" s="32" t="str">
        <f t="shared" si="20"/>
        <v>CC_efficiency * rigid_PE_INC_AIR_carbon_incineration</v>
      </c>
      <c r="H148" s="221"/>
      <c r="I148" s="6" t="str">
        <f t="shared" si="21"/>
        <v>PE</v>
      </c>
      <c r="J148" t="s">
        <v>2354</v>
      </c>
      <c r="K148" s="33">
        <f t="shared" si="22"/>
        <v>8.5829999999999984</v>
      </c>
      <c r="L148" t="str">
        <f t="shared" si="25"/>
        <v>kg ww</v>
      </c>
      <c r="M148" t="str">
        <f t="shared" si="23"/>
        <v>rigid_PE_INC_AIR_mass_incineration - rigid_PE_AIR_CCS_mass_incineration</v>
      </c>
      <c r="N148" s="11" t="s">
        <v>1005</v>
      </c>
    </row>
    <row r="149" spans="1:41" x14ac:dyDescent="0.2">
      <c r="A149" s="12"/>
      <c r="B149" s="221"/>
      <c r="C149" s="6" t="str">
        <f t="shared" si="18"/>
        <v>PP</v>
      </c>
      <c r="D149" t="s">
        <v>2335</v>
      </c>
      <c r="E149" s="33">
        <f t="shared" si="19"/>
        <v>48.482280000000003</v>
      </c>
      <c r="F149" t="str">
        <f t="shared" si="24"/>
        <v>kg ww</v>
      </c>
      <c r="G149" s="32" t="str">
        <f t="shared" si="20"/>
        <v>CC_efficiency * rigid_PP_INC_AIR_carbon_incineration</v>
      </c>
      <c r="H149" s="221"/>
      <c r="I149" s="6" t="str">
        <f t="shared" si="21"/>
        <v>PP</v>
      </c>
      <c r="J149" t="s">
        <v>2355</v>
      </c>
      <c r="K149" s="33">
        <f t="shared" si="22"/>
        <v>20.027000000000001</v>
      </c>
      <c r="L149" t="str">
        <f t="shared" si="25"/>
        <v>kg ww</v>
      </c>
      <c r="M149" t="str">
        <f t="shared" si="23"/>
        <v>rigid_PP_INC_AIR_mass_incineration - rigid_PP_AIR_CCS_mass_incineration</v>
      </c>
      <c r="N149" s="11" t="s">
        <v>1005</v>
      </c>
    </row>
    <row r="150" spans="1:41" x14ac:dyDescent="0.2">
      <c r="A150" s="12"/>
      <c r="B150" s="221"/>
      <c r="C150" s="6" t="str">
        <f t="shared" si="18"/>
        <v>PS</v>
      </c>
      <c r="D150" t="s">
        <v>2336</v>
      </c>
      <c r="E150" s="33">
        <f t="shared" si="19"/>
        <v>6.9260400000000004</v>
      </c>
      <c r="F150" t="str">
        <f t="shared" si="24"/>
        <v>kg ww</v>
      </c>
      <c r="G150" s="32" t="str">
        <f t="shared" si="20"/>
        <v>CC_efficiency * rigid_PS_INC_AIR_carbon_incineration</v>
      </c>
      <c r="H150" s="221"/>
      <c r="I150" s="6" t="str">
        <f t="shared" si="21"/>
        <v>PS</v>
      </c>
      <c r="J150" t="s">
        <v>2356</v>
      </c>
      <c r="K150" s="33">
        <f t="shared" si="22"/>
        <v>2.8609999999999989</v>
      </c>
      <c r="L150" t="str">
        <f t="shared" si="25"/>
        <v>kg ww</v>
      </c>
      <c r="M150" t="str">
        <f t="shared" si="23"/>
        <v>rigid_PS_INC_AIR_mass_incineration - rigid_PS_AIR_CCS_mass_incineration</v>
      </c>
      <c r="N150" s="11" t="s">
        <v>1005</v>
      </c>
    </row>
    <row r="151" spans="1:41" x14ac:dyDescent="0.2">
      <c r="A151" s="12"/>
      <c r="B151" s="221"/>
      <c r="C151" s="6" t="str">
        <f t="shared" si="18"/>
        <v>Other</v>
      </c>
      <c r="D151" t="s">
        <v>2337</v>
      </c>
      <c r="E151" s="33">
        <f t="shared" si="19"/>
        <v>34.630199999999988</v>
      </c>
      <c r="F151" t="str">
        <f t="shared" si="24"/>
        <v>kg ww</v>
      </c>
      <c r="G151" s="32" t="str">
        <f t="shared" si="20"/>
        <v>CC_efficiency * rigid_Oth_INC_AIR_carbon_incineration</v>
      </c>
      <c r="H151" s="221"/>
      <c r="I151" s="6" t="str">
        <f t="shared" si="21"/>
        <v>Other</v>
      </c>
      <c r="J151" t="s">
        <v>2357</v>
      </c>
      <c r="K151" s="33">
        <f t="shared" si="22"/>
        <v>14.305</v>
      </c>
      <c r="L151" t="str">
        <f t="shared" si="25"/>
        <v>kg ww</v>
      </c>
      <c r="M151" t="str">
        <f t="shared" si="23"/>
        <v>rigid_Oth_INC_AIR_mass_incineration - rigid_Oth_AIR_CCS_mass_incineration</v>
      </c>
      <c r="N151" s="11" t="s">
        <v>1005</v>
      </c>
    </row>
    <row r="152" spans="1:41" s="2" customFormat="1" x14ac:dyDescent="0.2">
      <c r="A152" s="11"/>
      <c r="B152" s="221" t="s">
        <v>42</v>
      </c>
      <c r="C152" s="6" t="str">
        <f t="shared" si="18"/>
        <v>PET</v>
      </c>
      <c r="D152" t="s">
        <v>2338</v>
      </c>
      <c r="E152" s="33">
        <f t="shared" si="19"/>
        <v>0</v>
      </c>
      <c r="F152" t="str">
        <f t="shared" si="24"/>
        <v>kg ww</v>
      </c>
      <c r="G152" s="32" t="str">
        <f t="shared" si="20"/>
        <v>CC_efficiency * soft_PET_INC_AIR_carbon_incineration</v>
      </c>
      <c r="H152" s="221" t="s">
        <v>42</v>
      </c>
      <c r="I152" s="6" t="str">
        <f t="shared" si="21"/>
        <v>PET</v>
      </c>
      <c r="J152" t="s">
        <v>2358</v>
      </c>
      <c r="K152" s="33">
        <f t="shared" si="22"/>
        <v>0</v>
      </c>
      <c r="L152" t="str">
        <f t="shared" si="25"/>
        <v>kg ww</v>
      </c>
      <c r="M152" t="str">
        <f t="shared" si="23"/>
        <v>soft_PET_INC_AIR_mass_incineration - soft_PET_AIR_CCS_mass_incineration</v>
      </c>
      <c r="N152" s="11" t="s">
        <v>1005</v>
      </c>
      <c r="P152"/>
      <c r="Q152"/>
      <c r="R152"/>
      <c r="S152"/>
      <c r="T152"/>
      <c r="U152"/>
      <c r="V152"/>
      <c r="W152"/>
      <c r="X152"/>
      <c r="Y152"/>
      <c r="Z152"/>
      <c r="AA152"/>
      <c r="AD152"/>
      <c r="AE152"/>
      <c r="AF152"/>
      <c r="AG152"/>
      <c r="AH152"/>
      <c r="AI152"/>
      <c r="AJ152"/>
      <c r="AK152"/>
      <c r="AL152"/>
      <c r="AM152"/>
      <c r="AN152"/>
      <c r="AO152"/>
    </row>
    <row r="153" spans="1:41" s="2" customFormat="1" x14ac:dyDescent="0.2">
      <c r="A153" s="11"/>
      <c r="B153" s="221"/>
      <c r="C153" s="6" t="str">
        <f t="shared" si="18"/>
        <v>PE</v>
      </c>
      <c r="D153" t="s">
        <v>2339</v>
      </c>
      <c r="E153" s="33">
        <f t="shared" si="19"/>
        <v>189.23284800000002</v>
      </c>
      <c r="F153" t="str">
        <f t="shared" si="24"/>
        <v>kg ww</v>
      </c>
      <c r="G153" s="32" t="str">
        <f t="shared" si="20"/>
        <v>CC_efficiency * soft_PE_INC_AIR_carbon_incineration</v>
      </c>
      <c r="H153" s="221"/>
      <c r="I153" s="6" t="str">
        <f t="shared" si="21"/>
        <v>PE</v>
      </c>
      <c r="J153" t="s">
        <v>2359</v>
      </c>
      <c r="K153" s="33">
        <f t="shared" si="22"/>
        <v>99.429671999999954</v>
      </c>
      <c r="L153" t="str">
        <f t="shared" si="25"/>
        <v>kg ww</v>
      </c>
      <c r="M153" t="str">
        <f t="shared" si="23"/>
        <v>soft_PE_INC_AIR_mass_incineration - soft_PE_AIR_CCS_mass_incineration</v>
      </c>
      <c r="N153" s="11" t="s">
        <v>1005</v>
      </c>
      <c r="P153"/>
      <c r="Q153"/>
      <c r="R153"/>
      <c r="S153"/>
      <c r="T153"/>
      <c r="U153"/>
      <c r="V153"/>
      <c r="W153"/>
      <c r="X153"/>
      <c r="Y153"/>
      <c r="Z153"/>
      <c r="AA153"/>
      <c r="AD153"/>
      <c r="AE153"/>
      <c r="AF153"/>
      <c r="AG153"/>
      <c r="AH153"/>
      <c r="AI153"/>
      <c r="AJ153"/>
      <c r="AK153"/>
      <c r="AL153"/>
      <c r="AM153"/>
      <c r="AN153"/>
      <c r="AO153"/>
    </row>
    <row r="154" spans="1:41" x14ac:dyDescent="0.2">
      <c r="A154" s="12"/>
      <c r="B154" s="221"/>
      <c r="C154" s="6" t="str">
        <f t="shared" si="18"/>
        <v>PP</v>
      </c>
      <c r="D154" t="s">
        <v>2340</v>
      </c>
      <c r="E154" s="33">
        <f t="shared" si="19"/>
        <v>0</v>
      </c>
      <c r="F154" t="str">
        <f t="shared" si="24"/>
        <v>kg ww</v>
      </c>
      <c r="G154" s="32" t="str">
        <f t="shared" si="20"/>
        <v>CC_efficiency * soft_PP_INC_AIR_carbon_incineration</v>
      </c>
      <c r="H154" s="221"/>
      <c r="I154" s="6" t="str">
        <f t="shared" si="21"/>
        <v>PP</v>
      </c>
      <c r="J154" t="s">
        <v>2360</v>
      </c>
      <c r="K154" s="33">
        <f t="shared" si="22"/>
        <v>0</v>
      </c>
      <c r="L154" t="str">
        <f t="shared" si="25"/>
        <v>kg ww</v>
      </c>
      <c r="M154" t="str">
        <f t="shared" si="23"/>
        <v>soft_PP_INC_AIR_mass_incineration - soft_PP_AIR_CCS_mass_incineration</v>
      </c>
      <c r="N154" s="11" t="s">
        <v>1005</v>
      </c>
    </row>
    <row r="155" spans="1:41" x14ac:dyDescent="0.2">
      <c r="A155" s="12"/>
      <c r="B155" s="221"/>
      <c r="C155" s="6" t="str">
        <f t="shared" si="18"/>
        <v>PS</v>
      </c>
      <c r="D155" t="s">
        <v>2341</v>
      </c>
      <c r="E155" s="33">
        <f t="shared" si="19"/>
        <v>0</v>
      </c>
      <c r="F155" t="str">
        <f t="shared" si="24"/>
        <v>kg ww</v>
      </c>
      <c r="G155" s="32" t="str">
        <f t="shared" si="20"/>
        <v>CC_efficiency * soft_PS_INC_AIR_carbon_incineration</v>
      </c>
      <c r="H155" s="221"/>
      <c r="I155" s="6" t="str">
        <f t="shared" si="21"/>
        <v>PS</v>
      </c>
      <c r="J155" t="s">
        <v>2361</v>
      </c>
      <c r="K155" s="33">
        <f t="shared" si="22"/>
        <v>0</v>
      </c>
      <c r="L155" t="str">
        <f t="shared" si="25"/>
        <v>kg ww</v>
      </c>
      <c r="M155" t="str">
        <f t="shared" si="23"/>
        <v>soft_PS_INC_AIR_mass_incineration - soft_PS_AIR_CCS_mass_incineration</v>
      </c>
      <c r="N155" s="11" t="s">
        <v>1005</v>
      </c>
    </row>
    <row r="156" spans="1:41" x14ac:dyDescent="0.2">
      <c r="A156" s="12"/>
      <c r="B156" s="221"/>
      <c r="C156" s="6" t="str">
        <f t="shared" si="18"/>
        <v>Other</v>
      </c>
      <c r="D156" t="s">
        <v>2342</v>
      </c>
      <c r="E156" s="33">
        <f t="shared" si="19"/>
        <v>63.07761600000002</v>
      </c>
      <c r="F156" t="str">
        <f t="shared" si="24"/>
        <v>kg ww</v>
      </c>
      <c r="G156" s="32" t="str">
        <f t="shared" si="20"/>
        <v>CC_efficiency * soft_Oth_INC_AIR_carbon_incineration</v>
      </c>
      <c r="H156" s="221"/>
      <c r="I156" s="6" t="str">
        <f t="shared" si="21"/>
        <v>Other</v>
      </c>
      <c r="J156" t="s">
        <v>2362</v>
      </c>
      <c r="K156" s="33">
        <f t="shared" si="22"/>
        <v>33.143224000000004</v>
      </c>
      <c r="L156" t="str">
        <f t="shared" si="25"/>
        <v>kg ww</v>
      </c>
      <c r="M156" t="str">
        <f t="shared" si="23"/>
        <v>soft_Oth_INC_AIR_mass_incineration - soft_Oth_AIR_CCS_mass_incineration</v>
      </c>
      <c r="N156" s="11" t="s">
        <v>1005</v>
      </c>
    </row>
    <row r="157" spans="1:41" x14ac:dyDescent="0.2">
      <c r="A157" s="12"/>
      <c r="B157" s="221" t="s">
        <v>19</v>
      </c>
      <c r="C157" s="6" t="str">
        <f t="shared" si="18"/>
        <v>PET</v>
      </c>
      <c r="D157" t="s">
        <v>2343</v>
      </c>
      <c r="E157" s="33">
        <f t="shared" si="19"/>
        <v>0</v>
      </c>
      <c r="F157" t="str">
        <f t="shared" si="24"/>
        <v>kg ww</v>
      </c>
      <c r="G157" s="32" t="str">
        <f t="shared" si="20"/>
        <v>CC_efficiency * other_PET_INC_AIR_carbon_incineration</v>
      </c>
      <c r="H157" s="221" t="s">
        <v>19</v>
      </c>
      <c r="I157" s="6" t="str">
        <f t="shared" si="21"/>
        <v>PET</v>
      </c>
      <c r="J157" t="s">
        <v>2363</v>
      </c>
      <c r="K157" s="33">
        <f t="shared" si="22"/>
        <v>0</v>
      </c>
      <c r="L157" t="str">
        <f t="shared" si="25"/>
        <v>kg ww</v>
      </c>
      <c r="M157" t="str">
        <f t="shared" si="23"/>
        <v>other_PET_INC_AIR_mass_incineration - other_PET_AIR_CCS_mass_incineration</v>
      </c>
      <c r="N157" s="11" t="s">
        <v>1005</v>
      </c>
    </row>
    <row r="158" spans="1:41" x14ac:dyDescent="0.2">
      <c r="A158" s="12"/>
      <c r="B158" s="221"/>
      <c r="C158" s="6" t="str">
        <f t="shared" si="18"/>
        <v>PE</v>
      </c>
      <c r="D158" t="s">
        <v>2344</v>
      </c>
      <c r="E158" s="33">
        <f t="shared" si="19"/>
        <v>0</v>
      </c>
      <c r="F158" t="str">
        <f t="shared" si="24"/>
        <v>kg ww</v>
      </c>
      <c r="G158" s="32" t="str">
        <f t="shared" si="20"/>
        <v>CC_efficiency * other_PE_INC_AIR_carbon_incineration</v>
      </c>
      <c r="H158" s="221"/>
      <c r="I158" s="6" t="str">
        <f t="shared" si="21"/>
        <v>PE</v>
      </c>
      <c r="J158" t="s">
        <v>2364</v>
      </c>
      <c r="K158" s="33">
        <f t="shared" si="22"/>
        <v>0</v>
      </c>
      <c r="L158" t="str">
        <f t="shared" si="25"/>
        <v>kg ww</v>
      </c>
      <c r="M158" t="str">
        <f t="shared" si="23"/>
        <v>other_PE_INC_AIR_mass_incineration - other_PE_AIR_CCS_mass_incineration</v>
      </c>
      <c r="N158" s="11" t="s">
        <v>1005</v>
      </c>
    </row>
    <row r="159" spans="1:41" x14ac:dyDescent="0.2">
      <c r="A159" s="12"/>
      <c r="B159" s="221"/>
      <c r="C159" s="6" t="str">
        <f t="shared" si="18"/>
        <v>PP</v>
      </c>
      <c r="D159" t="s">
        <v>2345</v>
      </c>
      <c r="E159" s="33">
        <f t="shared" si="19"/>
        <v>0</v>
      </c>
      <c r="F159" t="str">
        <f t="shared" si="24"/>
        <v>kg ww</v>
      </c>
      <c r="G159" s="32" t="str">
        <f t="shared" si="20"/>
        <v>CC_efficiency * other_PP_INC_AIR_carbon_incineration</v>
      </c>
      <c r="H159" s="221"/>
      <c r="I159" s="6" t="str">
        <f t="shared" si="21"/>
        <v>PP</v>
      </c>
      <c r="J159" t="s">
        <v>2365</v>
      </c>
      <c r="K159" s="33">
        <f t="shared" si="22"/>
        <v>0</v>
      </c>
      <c r="L159" t="str">
        <f t="shared" si="25"/>
        <v>kg ww</v>
      </c>
      <c r="M159" t="str">
        <f t="shared" si="23"/>
        <v>other_PP_INC_AIR_mass_incineration - other_PP_AIR_CCS_mass_incineration</v>
      </c>
      <c r="N159" s="11" t="s">
        <v>1005</v>
      </c>
      <c r="AD159" s="2"/>
      <c r="AE159" s="2"/>
      <c r="AF159" s="2"/>
      <c r="AG159" s="2"/>
      <c r="AH159" s="2"/>
      <c r="AI159" s="2"/>
      <c r="AJ159" s="2"/>
    </row>
    <row r="160" spans="1:41" x14ac:dyDescent="0.2">
      <c r="A160" s="12"/>
      <c r="B160" s="221"/>
      <c r="C160" s="6" t="str">
        <f t="shared" si="18"/>
        <v>PS</v>
      </c>
      <c r="D160" t="s">
        <v>2346</v>
      </c>
      <c r="E160" s="33">
        <f t="shared" si="19"/>
        <v>0</v>
      </c>
      <c r="F160" t="str">
        <f t="shared" si="24"/>
        <v>kg ww</v>
      </c>
      <c r="G160" s="32" t="str">
        <f t="shared" si="20"/>
        <v>CC_efficiency * other_PS_INC_AIR_carbon_incineration</v>
      </c>
      <c r="H160" s="221"/>
      <c r="I160" s="6" t="str">
        <f t="shared" si="21"/>
        <v>PS</v>
      </c>
      <c r="J160" t="s">
        <v>2366</v>
      </c>
      <c r="K160" s="33">
        <f t="shared" si="22"/>
        <v>0</v>
      </c>
      <c r="L160" t="str">
        <f t="shared" si="25"/>
        <v>kg ww</v>
      </c>
      <c r="M160" t="str">
        <f t="shared" si="23"/>
        <v>other_PS_INC_AIR_mass_incineration - other_PS_AIR_CCS_mass_incineration</v>
      </c>
      <c r="N160" s="11" t="s">
        <v>1005</v>
      </c>
      <c r="AD160" s="2"/>
      <c r="AE160" s="2"/>
      <c r="AF160" s="2"/>
      <c r="AG160" s="2"/>
      <c r="AH160" s="2"/>
      <c r="AI160" s="2"/>
      <c r="AJ160" s="2"/>
      <c r="AK160" s="2"/>
      <c r="AL160" s="2"/>
      <c r="AM160" s="2"/>
      <c r="AN160" s="2"/>
      <c r="AO160" s="2"/>
    </row>
    <row r="161" spans="1:41" x14ac:dyDescent="0.2">
      <c r="A161" s="12"/>
      <c r="B161" s="221"/>
      <c r="C161" s="6" t="str">
        <f t="shared" si="18"/>
        <v>Other</v>
      </c>
      <c r="D161" t="s">
        <v>2347</v>
      </c>
      <c r="E161" s="33">
        <f t="shared" si="19"/>
        <v>59.028659999999952</v>
      </c>
      <c r="F161" t="str">
        <f t="shared" si="24"/>
        <v>kg ww</v>
      </c>
      <c r="G161" s="61" t="str">
        <f t="shared" si="20"/>
        <v>CC_efficiency * other_Oth_INC_AIR_carbon_incineration</v>
      </c>
      <c r="H161" s="221"/>
      <c r="I161" s="6" t="str">
        <f t="shared" si="21"/>
        <v>Other</v>
      </c>
      <c r="J161" t="s">
        <v>2367</v>
      </c>
      <c r="K161" s="33">
        <f t="shared" si="22"/>
        <v>35.86183999999998</v>
      </c>
      <c r="L161" t="str">
        <f t="shared" si="25"/>
        <v>kg ww</v>
      </c>
      <c r="M161" t="str">
        <f t="shared" si="23"/>
        <v>other_Oth_INC_AIR_mass_incineration - other_Oth_AIR_CCS_mass_incineration</v>
      </c>
      <c r="N161" s="11" t="s">
        <v>1005</v>
      </c>
      <c r="AK161" s="2"/>
      <c r="AL161" s="2"/>
      <c r="AM161" s="2"/>
      <c r="AN161" s="2"/>
      <c r="AO161" s="2"/>
    </row>
    <row r="162" spans="1:41" s="2" customFormat="1" ht="25" customHeight="1" x14ac:dyDescent="0.2">
      <c r="A162" s="11"/>
      <c r="B162" s="214" t="s">
        <v>167</v>
      </c>
      <c r="C162" s="214"/>
      <c r="D162" s="214"/>
      <c r="E162" s="214"/>
      <c r="F162" s="214"/>
      <c r="G162" s="214"/>
      <c r="H162" s="214"/>
      <c r="I162" s="214"/>
      <c r="J162" s="214"/>
      <c r="K162" s="214"/>
      <c r="L162" s="214"/>
      <c r="M162" s="214"/>
      <c r="N162" s="11"/>
      <c r="P162"/>
      <c r="Q162"/>
      <c r="R162"/>
      <c r="S162"/>
      <c r="T162"/>
      <c r="U162"/>
      <c r="V162"/>
      <c r="W162"/>
      <c r="X162"/>
      <c r="Y162"/>
      <c r="Z162"/>
      <c r="AA162"/>
      <c r="AD162"/>
      <c r="AE162"/>
      <c r="AF162"/>
      <c r="AG162"/>
      <c r="AH162"/>
      <c r="AI162"/>
      <c r="AJ162"/>
      <c r="AK162"/>
      <c r="AL162"/>
      <c r="AM162"/>
      <c r="AN162"/>
      <c r="AO162"/>
    </row>
    <row r="163" spans="1:41" s="2" customFormat="1" x14ac:dyDescent="0.2">
      <c r="A163" s="11"/>
      <c r="B163" s="2" t="str">
        <f>B126</f>
        <v>Patameter</v>
      </c>
      <c r="C163" s="2" t="str">
        <f>C126</f>
        <v>Value</v>
      </c>
      <c r="D163" s="2" t="str">
        <f>D126</f>
        <v>Unit</v>
      </c>
      <c r="E163" s="2" t="str">
        <f>E126</f>
        <v>Description</v>
      </c>
      <c r="H163" s="2" t="str">
        <f>B163</f>
        <v>Patameter</v>
      </c>
      <c r="I163" s="2" t="str">
        <f t="shared" ref="I163:K163" si="26">C163</f>
        <v>Value</v>
      </c>
      <c r="J163" s="2" t="str">
        <f t="shared" si="26"/>
        <v>Unit</v>
      </c>
      <c r="K163" s="2" t="str">
        <f t="shared" si="26"/>
        <v>Description</v>
      </c>
      <c r="N163" s="11"/>
      <c r="P163"/>
      <c r="Q163"/>
      <c r="R163"/>
      <c r="S163"/>
      <c r="T163"/>
      <c r="U163"/>
      <c r="V163"/>
      <c r="W163"/>
      <c r="X163"/>
      <c r="Y163"/>
      <c r="Z163"/>
      <c r="AA163"/>
      <c r="AD163"/>
      <c r="AE163"/>
      <c r="AF163"/>
      <c r="AG163"/>
      <c r="AH163"/>
      <c r="AI163"/>
      <c r="AJ163"/>
      <c r="AK163"/>
      <c r="AL163"/>
      <c r="AM163"/>
      <c r="AN163"/>
      <c r="AO163"/>
    </row>
    <row r="164" spans="1:41" x14ac:dyDescent="0.2">
      <c r="A164" s="12"/>
      <c r="B164" t="s">
        <v>2537</v>
      </c>
      <c r="C164" s="33">
        <f>SUM(E142:E146)</f>
        <v>185.5872</v>
      </c>
      <c r="D164" t="s">
        <v>10</v>
      </c>
      <c r="E164" t="s">
        <v>1197</v>
      </c>
      <c r="H164" t="s">
        <v>2542</v>
      </c>
      <c r="I164" s="33">
        <f>SUM(K142:K146)</f>
        <v>98.034300000000016</v>
      </c>
      <c r="J164" t="s">
        <v>10</v>
      </c>
      <c r="K164" t="s">
        <v>1561</v>
      </c>
      <c r="N164" s="12"/>
    </row>
    <row r="165" spans="1:41" x14ac:dyDescent="0.2">
      <c r="A165" s="12"/>
      <c r="B165" t="s">
        <v>2538</v>
      </c>
      <c r="C165" s="33">
        <f>SUM(E147:E151)</f>
        <v>138.52080000000001</v>
      </c>
      <c r="D165" t="str">
        <f>D164</f>
        <v>kg ww</v>
      </c>
      <c r="E165" t="s">
        <v>1198</v>
      </c>
      <c r="H165" t="s">
        <v>2543</v>
      </c>
      <c r="I165">
        <f>SUM(K147:K151)</f>
        <v>57.219999999999992</v>
      </c>
      <c r="J165" t="str">
        <f>J164</f>
        <v>kg ww</v>
      </c>
      <c r="K165" t="s">
        <v>1562</v>
      </c>
      <c r="N165" s="12"/>
    </row>
    <row r="166" spans="1:41" x14ac:dyDescent="0.2">
      <c r="A166" s="12"/>
      <c r="B166" t="s">
        <v>2539</v>
      </c>
      <c r="C166" s="33">
        <f>SUM(E152:E156)</f>
        <v>252.31046400000002</v>
      </c>
      <c r="D166" t="str">
        <f t="shared" ref="D166" si="27">D165</f>
        <v>kg ww</v>
      </c>
      <c r="E166" t="s">
        <v>1199</v>
      </c>
      <c r="H166" t="s">
        <v>2544</v>
      </c>
      <c r="I166">
        <f>SUM(K152:K156)</f>
        <v>132.57289599999996</v>
      </c>
      <c r="J166" t="str">
        <f t="shared" ref="J166" si="28">J165</f>
        <v>kg ww</v>
      </c>
      <c r="K166" t="s">
        <v>1563</v>
      </c>
      <c r="N166" s="12"/>
    </row>
    <row r="167" spans="1:41" ht="16" thickBot="1" x14ac:dyDescent="0.25">
      <c r="A167" s="12"/>
      <c r="B167" s="8" t="s">
        <v>2540</v>
      </c>
      <c r="C167" s="34">
        <f>SUM(E157:E161)</f>
        <v>59.028659999999952</v>
      </c>
      <c r="D167" s="8" t="str">
        <f>D166</f>
        <v>kg ww</v>
      </c>
      <c r="E167" s="8" t="s">
        <v>1200</v>
      </c>
      <c r="F167" s="8"/>
      <c r="G167" s="8"/>
      <c r="H167" s="8" t="s">
        <v>2545</v>
      </c>
      <c r="I167" s="8">
        <f>SUM(K157:K161)</f>
        <v>35.86183999999998</v>
      </c>
      <c r="J167" s="8" t="s">
        <v>10</v>
      </c>
      <c r="K167" s="8" t="s">
        <v>1564</v>
      </c>
      <c r="L167" s="8"/>
      <c r="M167" s="8"/>
      <c r="N167" s="12"/>
    </row>
    <row r="168" spans="1:41" ht="16" thickTop="1" x14ac:dyDescent="0.2">
      <c r="A168" s="12"/>
      <c r="B168" s="44" t="s">
        <v>2541</v>
      </c>
      <c r="C168" s="62">
        <f>SUM(C164:C167)</f>
        <v>635.44712400000003</v>
      </c>
      <c r="D168" s="44" t="str">
        <f>D166</f>
        <v>kg ww</v>
      </c>
      <c r="E168" s="44" t="s">
        <v>1201</v>
      </c>
      <c r="F168" s="44"/>
      <c r="G168" s="44"/>
      <c r="H168" s="44" t="s">
        <v>2546</v>
      </c>
      <c r="I168" s="62">
        <f>SUM(I164:I167)</f>
        <v>323.68903599999993</v>
      </c>
      <c r="J168" s="44" t="str">
        <f>J166</f>
        <v>kg ww</v>
      </c>
      <c r="K168" s="44" t="s">
        <v>1565</v>
      </c>
      <c r="L168" s="44"/>
      <c r="M168" s="44"/>
      <c r="N168" s="12"/>
    </row>
    <row r="169" spans="1:41" x14ac:dyDescent="0.2">
      <c r="A169" s="12"/>
      <c r="B169" s="145" t="s">
        <v>2704</v>
      </c>
      <c r="C169" s="138" t="str">
        <f>IF(C168+I168=I131,"true")</f>
        <v>true</v>
      </c>
      <c r="D169" s="125"/>
      <c r="E169" s="125"/>
      <c r="F169" s="125"/>
      <c r="G169" s="125"/>
      <c r="H169" s="145"/>
      <c r="I169" s="138"/>
      <c r="J169" s="125"/>
      <c r="K169" s="125"/>
      <c r="L169" s="125"/>
      <c r="M169" s="125"/>
      <c r="N169" s="12"/>
    </row>
    <row r="170" spans="1:41" x14ac:dyDescent="0.2">
      <c r="A170" s="12"/>
      <c r="B170" s="90"/>
      <c r="C170" s="89"/>
      <c r="D170" s="12"/>
      <c r="E170" s="12"/>
      <c r="F170" s="12"/>
      <c r="G170" s="12"/>
      <c r="H170" s="90"/>
      <c r="I170" s="89"/>
      <c r="J170" s="12"/>
      <c r="K170" s="12"/>
      <c r="L170" s="12"/>
      <c r="M170" s="12"/>
      <c r="N170" s="12"/>
    </row>
    <row r="171" spans="1:41" x14ac:dyDescent="0.2">
      <c r="A171" s="12"/>
      <c r="B171" s="90"/>
      <c r="C171" s="89"/>
      <c r="D171" s="12"/>
      <c r="E171" s="12"/>
      <c r="F171" s="12"/>
      <c r="G171" s="12"/>
      <c r="H171" s="90"/>
      <c r="I171" s="89"/>
      <c r="J171" s="12"/>
      <c r="K171" s="12"/>
      <c r="L171" s="12"/>
      <c r="M171" s="12"/>
      <c r="N171" s="12"/>
    </row>
    <row r="172" spans="1:41" x14ac:dyDescent="0.2">
      <c r="A172" s="12"/>
      <c r="B172" s="90"/>
      <c r="C172" s="89"/>
      <c r="D172" s="12"/>
      <c r="E172" s="102"/>
      <c r="F172" s="12"/>
      <c r="G172" s="12"/>
      <c r="H172" s="90"/>
      <c r="I172" s="89"/>
      <c r="J172" s="12"/>
      <c r="K172" s="12"/>
      <c r="L172" s="12"/>
      <c r="M172" s="12"/>
      <c r="N172" s="12"/>
    </row>
    <row r="173" spans="1:41" x14ac:dyDescent="0.2">
      <c r="A173" s="103"/>
      <c r="B173" s="103"/>
      <c r="C173" s="103"/>
      <c r="D173" s="103"/>
      <c r="E173" s="103"/>
      <c r="F173" s="103"/>
      <c r="G173" s="103"/>
      <c r="H173" s="103"/>
      <c r="I173" s="103"/>
      <c r="J173" s="103"/>
      <c r="K173" s="103"/>
      <c r="L173" s="103"/>
      <c r="M173" s="103"/>
      <c r="N173" s="103"/>
    </row>
    <row r="174" spans="1:41" s="2" customFormat="1" ht="26" x14ac:dyDescent="0.3">
      <c r="A174" s="49"/>
      <c r="B174" s="216" t="s">
        <v>97</v>
      </c>
      <c r="C174" s="216"/>
      <c r="D174" s="216"/>
      <c r="E174" s="216"/>
      <c r="F174" s="216"/>
      <c r="G174" s="216"/>
      <c r="H174" s="216"/>
      <c r="I174" s="216"/>
      <c r="J174" s="216"/>
      <c r="K174" s="216"/>
      <c r="L174" s="216"/>
      <c r="M174" s="216"/>
      <c r="N174" s="50"/>
      <c r="P174"/>
      <c r="Q174"/>
      <c r="R174"/>
      <c r="S174"/>
      <c r="T174"/>
      <c r="U174"/>
      <c r="V174"/>
      <c r="W174"/>
      <c r="X174"/>
      <c r="Y174"/>
      <c r="Z174"/>
      <c r="AA174"/>
      <c r="AD174"/>
      <c r="AE174"/>
      <c r="AF174"/>
      <c r="AG174"/>
      <c r="AH174"/>
      <c r="AI174"/>
      <c r="AJ174"/>
      <c r="AK174"/>
      <c r="AL174"/>
      <c r="AM174"/>
      <c r="AN174"/>
      <c r="AO174"/>
    </row>
    <row r="175" spans="1:41" s="2" customFormat="1" x14ac:dyDescent="0.2">
      <c r="A175" s="14"/>
      <c r="B175" s="14"/>
      <c r="C175" s="14"/>
      <c r="D175" s="14"/>
      <c r="E175" s="14"/>
      <c r="F175" s="14"/>
      <c r="G175" s="14"/>
      <c r="H175" s="14"/>
      <c r="I175" s="14"/>
      <c r="J175" s="14"/>
      <c r="K175" s="14"/>
      <c r="L175" s="14"/>
      <c r="M175" s="14"/>
      <c r="N175" s="14"/>
      <c r="P175"/>
      <c r="Q175"/>
      <c r="R175"/>
      <c r="S175"/>
      <c r="T175"/>
      <c r="U175"/>
      <c r="V175"/>
      <c r="W175"/>
      <c r="X175"/>
      <c r="Y175"/>
      <c r="Z175"/>
      <c r="AA175"/>
      <c r="AD175"/>
      <c r="AE175"/>
      <c r="AF175"/>
      <c r="AG175"/>
      <c r="AH175"/>
      <c r="AI175"/>
      <c r="AJ175"/>
      <c r="AK175"/>
      <c r="AL175"/>
      <c r="AM175"/>
      <c r="AN175"/>
      <c r="AO175"/>
    </row>
    <row r="176" spans="1:41" x14ac:dyDescent="0.2">
      <c r="A176" s="14"/>
      <c r="B176" s="218"/>
      <c r="C176" s="218"/>
      <c r="D176" s="218"/>
      <c r="E176" s="218"/>
      <c r="F176" s="218"/>
      <c r="G176" s="218"/>
      <c r="H176" s="218"/>
      <c r="I176" s="218"/>
      <c r="J176" s="218"/>
      <c r="K176" s="218"/>
      <c r="L176" s="218"/>
      <c r="M176" s="218"/>
      <c r="N176" s="14"/>
    </row>
    <row r="177" spans="1:17" ht="25" customHeight="1" x14ac:dyDescent="0.2">
      <c r="A177" s="14"/>
      <c r="B177" s="214" t="s">
        <v>1</v>
      </c>
      <c r="C177" s="214"/>
      <c r="D177" s="214"/>
      <c r="E177" s="214"/>
      <c r="F177" s="214"/>
      <c r="G177" s="214"/>
      <c r="H177" s="214"/>
      <c r="I177" s="15"/>
      <c r="J177" s="15"/>
      <c r="K177" s="15"/>
      <c r="L177" s="15"/>
      <c r="M177" s="15"/>
      <c r="N177" s="14"/>
    </row>
    <row r="178" spans="1:17" x14ac:dyDescent="0.2">
      <c r="A178" s="14"/>
      <c r="B178" s="114" t="s">
        <v>2</v>
      </c>
      <c r="C178" s="114" t="s">
        <v>3</v>
      </c>
      <c r="D178" s="114" t="s">
        <v>4</v>
      </c>
      <c r="E178" s="114" t="s">
        <v>5</v>
      </c>
      <c r="F178" s="114" t="s">
        <v>6</v>
      </c>
      <c r="G178" s="114" t="s">
        <v>7</v>
      </c>
      <c r="H178" s="114" t="s">
        <v>112</v>
      </c>
      <c r="I178" s="14"/>
      <c r="J178" s="14"/>
      <c r="K178" s="14"/>
      <c r="L178" s="14"/>
      <c r="M178" s="14"/>
      <c r="N178" s="14"/>
      <c r="Q178" s="123"/>
    </row>
    <row r="179" spans="1:17" x14ac:dyDescent="0.2">
      <c r="A179" s="14"/>
      <c r="B179" s="106" t="str">
        <f>'info, structure, parameters'!A205</f>
        <v>bottle_carbon</v>
      </c>
      <c r="C179" s="106">
        <f>'info, structure, parameters'!B205</f>
        <v>0.68735999999999997</v>
      </c>
      <c r="D179" s="106" t="str">
        <f>'info, structure, parameters'!C205</f>
        <v>kg C</v>
      </c>
      <c r="E179" s="106">
        <f>'info, structure, parameters'!D205</f>
        <v>0.68735999999999997</v>
      </c>
      <c r="F179" s="106">
        <f>'info, structure, parameters'!E205</f>
        <v>0.68735999999999997</v>
      </c>
      <c r="G179" s="106" t="str">
        <f>'info, structure, parameters'!F205</f>
        <v>Amount of fossile carbon contained in 1 kg of plastic bottle waste</v>
      </c>
      <c r="H179" s="106">
        <f>'info, structure, parameters'!G205</f>
        <v>3</v>
      </c>
      <c r="I179" s="14"/>
      <c r="J179" s="14"/>
      <c r="K179" s="14"/>
      <c r="L179" s="14"/>
      <c r="M179" s="14"/>
      <c r="N179" s="14"/>
      <c r="Q179" s="123"/>
    </row>
    <row r="180" spans="1:17" x14ac:dyDescent="0.2">
      <c r="A180" s="14"/>
      <c r="B180" s="106" t="str">
        <f>'info, structure, parameters'!A206</f>
        <v>rigid_carbon</v>
      </c>
      <c r="C180" s="106">
        <f>'info, structure, parameters'!B206</f>
        <v>0.76956000000000002</v>
      </c>
      <c r="D180" s="106" t="str">
        <f>'info, structure, parameters'!C206</f>
        <v>kg C</v>
      </c>
      <c r="E180" s="106">
        <f>'info, structure, parameters'!D206</f>
        <v>0.76956000000000002</v>
      </c>
      <c r="F180" s="106">
        <f>'info, structure, parameters'!E206</f>
        <v>0.76956000000000002</v>
      </c>
      <c r="G180" s="106" t="str">
        <f>'info, structure, parameters'!F206</f>
        <v>Amount of fossile carbon contained in 1 kg of rigid plastic waste</v>
      </c>
      <c r="H180" s="106">
        <f>'info, structure, parameters'!G206</f>
        <v>3</v>
      </c>
      <c r="I180" s="14"/>
      <c r="J180" s="14"/>
      <c r="K180" s="14"/>
      <c r="L180" s="14"/>
      <c r="M180" s="14"/>
      <c r="N180" s="14"/>
    </row>
    <row r="181" spans="1:17" x14ac:dyDescent="0.2">
      <c r="A181" s="14"/>
      <c r="B181" s="106" t="str">
        <f>'info, structure, parameters'!A207</f>
        <v>soft_carbon</v>
      </c>
      <c r="C181" s="106">
        <f>'info, structure, parameters'!B207</f>
        <v>0.7008624</v>
      </c>
      <c r="D181" s="106" t="str">
        <f>'info, structure, parameters'!C207</f>
        <v>kg C</v>
      </c>
      <c r="E181" s="106">
        <f>'info, structure, parameters'!D207</f>
        <v>0.7008624</v>
      </c>
      <c r="F181" s="106">
        <f>'info, structure, parameters'!E207</f>
        <v>0.7008624</v>
      </c>
      <c r="G181" s="106" t="str">
        <f>'info, structure, parameters'!F207</f>
        <v>Amount of fossile carbon contained in 1 kg of soft plastic waste</v>
      </c>
      <c r="H181" s="106">
        <f>'info, structure, parameters'!G207</f>
        <v>3</v>
      </c>
      <c r="I181" s="14"/>
      <c r="J181" s="14"/>
      <c r="K181" s="14"/>
      <c r="L181" s="14"/>
      <c r="M181" s="14"/>
      <c r="N181" s="14"/>
    </row>
    <row r="182" spans="1:17" x14ac:dyDescent="0.2">
      <c r="A182" s="14"/>
      <c r="B182" s="106" t="str">
        <f>'info, structure, parameters'!A208</f>
        <v>nonrec_carbon</v>
      </c>
      <c r="C182" s="106">
        <f>'info, structure, parameters'!B208</f>
        <v>0.65587399999999996</v>
      </c>
      <c r="D182" s="106" t="str">
        <f>'info, structure, parameters'!C208</f>
        <v>kg C</v>
      </c>
      <c r="E182" s="106">
        <f>'info, structure, parameters'!D208</f>
        <v>0.65587399999999996</v>
      </c>
      <c r="F182" s="106">
        <f>'info, structure, parameters'!E208</f>
        <v>0.65587399999999996</v>
      </c>
      <c r="G182" s="106" t="str">
        <f>'info, structure, parameters'!F208</f>
        <v>Amount of fossile carbon contained in 1 kg of non recyclable plastic waste</v>
      </c>
      <c r="H182" s="106">
        <f>'info, structure, parameters'!G208</f>
        <v>3</v>
      </c>
      <c r="I182" s="14"/>
      <c r="J182" s="14"/>
      <c r="K182" s="14"/>
      <c r="L182" s="14"/>
      <c r="M182" s="14"/>
      <c r="N182" s="14"/>
    </row>
    <row r="183" spans="1:17" x14ac:dyDescent="0.2">
      <c r="A183" s="14"/>
      <c r="B183" s="106" t="s">
        <v>174</v>
      </c>
      <c r="C183" s="106">
        <f>SUM(C179:C182)</f>
        <v>2.8136563999999997</v>
      </c>
      <c r="D183" s="117" t="str">
        <f>D182</f>
        <v>kg C</v>
      </c>
      <c r="E183" s="106"/>
      <c r="F183" s="106"/>
      <c r="G183" s="106" t="s">
        <v>116</v>
      </c>
      <c r="H183" s="107"/>
      <c r="I183" s="14"/>
      <c r="J183" s="14"/>
      <c r="K183" s="14"/>
      <c r="L183" s="14"/>
      <c r="M183" s="14"/>
      <c r="N183" s="14"/>
    </row>
    <row r="184" spans="1:17" ht="25" customHeight="1" x14ac:dyDescent="0.2">
      <c r="A184" s="14"/>
      <c r="B184" s="214" t="s">
        <v>44</v>
      </c>
      <c r="C184" s="214"/>
      <c r="D184" s="214"/>
      <c r="E184" s="214"/>
      <c r="F184" s="214"/>
      <c r="G184" s="214"/>
      <c r="H184" s="15"/>
      <c r="I184" s="15"/>
      <c r="J184" s="15"/>
      <c r="K184" s="15"/>
      <c r="L184" s="15"/>
      <c r="M184" s="15"/>
      <c r="N184" s="14"/>
    </row>
    <row r="185" spans="1:17" ht="25" customHeight="1" x14ac:dyDescent="0.2">
      <c r="A185" s="14"/>
      <c r="B185" s="214" t="s">
        <v>48</v>
      </c>
      <c r="C185" s="214"/>
      <c r="D185" s="214"/>
      <c r="E185" s="214"/>
      <c r="F185" s="214"/>
      <c r="G185" s="214"/>
      <c r="H185" s="15"/>
      <c r="I185" s="15"/>
      <c r="J185" s="15"/>
      <c r="K185" s="15"/>
      <c r="L185" s="15"/>
      <c r="M185" s="15"/>
      <c r="N185" s="14"/>
    </row>
    <row r="186" spans="1:17" x14ac:dyDescent="0.2">
      <c r="A186" s="14"/>
      <c r="B186" s="2" t="str">
        <f t="shared" ref="B186:G186" si="29">B60</f>
        <v>Fraction</v>
      </c>
      <c r="C186" s="3" t="str">
        <f t="shared" si="29"/>
        <v>Sub-fraction</v>
      </c>
      <c r="D186" s="3" t="str">
        <f t="shared" si="29"/>
        <v>Name</v>
      </c>
      <c r="E186" s="3" t="str">
        <f t="shared" si="29"/>
        <v>Value</v>
      </c>
      <c r="F186" s="3" t="str">
        <f t="shared" si="29"/>
        <v>Unit</v>
      </c>
      <c r="G186" s="3" t="str">
        <f t="shared" si="29"/>
        <v>Equation</v>
      </c>
      <c r="H186" s="15"/>
      <c r="I186" s="16"/>
      <c r="J186" s="15"/>
      <c r="K186" s="15"/>
      <c r="L186" s="15"/>
      <c r="M186" s="15"/>
      <c r="N186" s="14"/>
    </row>
    <row r="187" spans="1:17" x14ac:dyDescent="0.2">
      <c r="A187" s="14"/>
      <c r="B187" s="220" t="s">
        <v>14</v>
      </c>
      <c r="C187" s="6" t="str">
        <f t="shared" ref="C187:C206" si="30">C61</f>
        <v>PET</v>
      </c>
      <c r="D187" t="s">
        <v>2368</v>
      </c>
      <c r="E187">
        <f>$C$179*E61</f>
        <v>158.09279999999998</v>
      </c>
      <c r="F187" t="s">
        <v>96</v>
      </c>
      <c r="G187" t="str">
        <f>$B$179&amp;" * "&amp;D61</f>
        <v>bottle_carbon * bottle_PET_WG_INC_mass_incineration</v>
      </c>
      <c r="H187" s="104"/>
      <c r="I187" s="14"/>
      <c r="J187" s="14"/>
      <c r="K187" s="14"/>
      <c r="L187" s="14"/>
      <c r="M187" s="14"/>
      <c r="N187" s="14"/>
    </row>
    <row r="188" spans="1:17" x14ac:dyDescent="0.2">
      <c r="A188" s="14"/>
      <c r="B188" s="220"/>
      <c r="C188" s="6" t="str">
        <f t="shared" si="30"/>
        <v>PE</v>
      </c>
      <c r="D188" t="s">
        <v>2369</v>
      </c>
      <c r="E188">
        <f>$C$179*E62</f>
        <v>48.115200000000002</v>
      </c>
      <c r="F188" t="str">
        <f>F187</f>
        <v>kg C</v>
      </c>
      <c r="G188" t="str">
        <f t="shared" ref="G188:G191" si="31">$B$179&amp;" * "&amp;D62</f>
        <v>bottle_carbon * bottle_PE_WG_INC_mass_incineration</v>
      </c>
      <c r="H188" s="104"/>
      <c r="I188" s="14"/>
      <c r="J188" s="14"/>
      <c r="K188" s="14"/>
      <c r="L188" s="14"/>
      <c r="M188" s="14"/>
      <c r="N188" s="14"/>
    </row>
    <row r="189" spans="1:17" x14ac:dyDescent="0.2">
      <c r="A189" s="14"/>
      <c r="B189" s="220"/>
      <c r="C189" s="6" t="str">
        <f t="shared" si="30"/>
        <v>PP</v>
      </c>
      <c r="D189" t="s">
        <v>2370</v>
      </c>
      <c r="E189">
        <f>$C$179*E63</f>
        <v>0</v>
      </c>
      <c r="F189" t="str">
        <f t="shared" ref="F189:F206" si="32">F188</f>
        <v>kg C</v>
      </c>
      <c r="G189" t="str">
        <f t="shared" si="31"/>
        <v>bottle_carbon * bottle_PP_WG_INC_mass_incineration</v>
      </c>
      <c r="H189" s="104"/>
      <c r="I189" s="14"/>
      <c r="J189" s="14"/>
      <c r="K189" s="14"/>
      <c r="L189" s="14"/>
      <c r="M189" s="14"/>
      <c r="N189" s="14"/>
    </row>
    <row r="190" spans="1:17" x14ac:dyDescent="0.2">
      <c r="A190" s="14"/>
      <c r="B190" s="220"/>
      <c r="C190" s="6" t="str">
        <f t="shared" si="30"/>
        <v>PS</v>
      </c>
      <c r="D190" t="s">
        <v>2371</v>
      </c>
      <c r="E190">
        <f>$C$179*E64</f>
        <v>0</v>
      </c>
      <c r="F190" t="str">
        <f t="shared" si="32"/>
        <v>kg C</v>
      </c>
      <c r="G190" t="str">
        <f t="shared" si="31"/>
        <v>bottle_carbon * bottle_PS_WG_INC_mass_incineration</v>
      </c>
      <c r="H190" s="104"/>
      <c r="I190" s="96"/>
      <c r="J190" s="14"/>
      <c r="K190" s="14"/>
      <c r="L190" s="14"/>
      <c r="M190" s="14"/>
      <c r="N190" s="14"/>
    </row>
    <row r="191" spans="1:17" x14ac:dyDescent="0.2">
      <c r="A191" s="14"/>
      <c r="B191" s="220"/>
      <c r="C191" s="6" t="str">
        <f t="shared" si="30"/>
        <v>Other</v>
      </c>
      <c r="D191" t="s">
        <v>2372</v>
      </c>
      <c r="E191">
        <f>$C$179*E65</f>
        <v>0</v>
      </c>
      <c r="F191" t="str">
        <f t="shared" si="32"/>
        <v>kg C</v>
      </c>
      <c r="G191" t="str">
        <f t="shared" si="31"/>
        <v>bottle_carbon * bottle_Oth_WG_INC_mass_incineration</v>
      </c>
      <c r="H191" s="104"/>
      <c r="I191" s="96"/>
      <c r="J191" s="14"/>
      <c r="K191" s="14"/>
      <c r="L191" s="14"/>
      <c r="M191" s="14"/>
      <c r="N191" s="14"/>
    </row>
    <row r="192" spans="1:17" x14ac:dyDescent="0.2">
      <c r="A192" s="14"/>
      <c r="B192" s="220" t="s">
        <v>15</v>
      </c>
      <c r="C192" s="6" t="str">
        <f t="shared" si="30"/>
        <v>PET</v>
      </c>
      <c r="D192" t="s">
        <v>2373</v>
      </c>
      <c r="E192">
        <f>$C$180*E66</f>
        <v>30.782400000000003</v>
      </c>
      <c r="F192" t="str">
        <f t="shared" si="32"/>
        <v>kg C</v>
      </c>
      <c r="G192" t="str">
        <f>$B$180&amp;" * "&amp;D66</f>
        <v>rigid_carbon * rigid_PET_WG_INC_mass_incineration</v>
      </c>
      <c r="H192" s="104"/>
      <c r="I192" s="14"/>
      <c r="J192" s="14"/>
      <c r="K192" s="14"/>
      <c r="L192" s="14"/>
      <c r="M192" s="14"/>
      <c r="N192" s="14"/>
    </row>
    <row r="193" spans="1:14" x14ac:dyDescent="0.2">
      <c r="A193" s="14"/>
      <c r="B193" s="220"/>
      <c r="C193" s="6" t="str">
        <f t="shared" si="30"/>
        <v>PE</v>
      </c>
      <c r="D193" t="s">
        <v>2374</v>
      </c>
      <c r="E193">
        <f>$C$180*E67</f>
        <v>23.0868</v>
      </c>
      <c r="F193" t="str">
        <f t="shared" si="32"/>
        <v>kg C</v>
      </c>
      <c r="G193" t="str">
        <f t="shared" ref="G193:G196" si="33">$B$180&amp;" * "&amp;D67</f>
        <v>rigid_carbon * rigid_PE_WG_INC_mass_incineration</v>
      </c>
      <c r="H193" s="104"/>
      <c r="I193" s="14"/>
      <c r="J193" s="14"/>
      <c r="K193" s="14"/>
      <c r="L193" s="14"/>
      <c r="M193" s="14"/>
      <c r="N193" s="14"/>
    </row>
    <row r="194" spans="1:14" x14ac:dyDescent="0.2">
      <c r="A194" s="14"/>
      <c r="B194" s="220"/>
      <c r="C194" s="6" t="str">
        <f t="shared" si="30"/>
        <v>PP</v>
      </c>
      <c r="D194" t="s">
        <v>2375</v>
      </c>
      <c r="E194">
        <f>$C$180*E68</f>
        <v>53.869199999999999</v>
      </c>
      <c r="F194" t="str">
        <f t="shared" si="32"/>
        <v>kg C</v>
      </c>
      <c r="G194" t="str">
        <f t="shared" si="33"/>
        <v>rigid_carbon * rigid_PP_WG_INC_mass_incineration</v>
      </c>
      <c r="H194" s="104"/>
      <c r="I194" s="14"/>
      <c r="J194" s="14"/>
      <c r="K194" s="14"/>
      <c r="L194" s="14"/>
      <c r="M194" s="14"/>
      <c r="N194" s="14"/>
    </row>
    <row r="195" spans="1:14" x14ac:dyDescent="0.2">
      <c r="A195" s="14"/>
      <c r="B195" s="220"/>
      <c r="C195" s="6" t="str">
        <f t="shared" si="30"/>
        <v>PS</v>
      </c>
      <c r="D195" t="s">
        <v>2376</v>
      </c>
      <c r="E195">
        <f>$C$180*E69</f>
        <v>7.6956000000000007</v>
      </c>
      <c r="F195" t="str">
        <f t="shared" si="32"/>
        <v>kg C</v>
      </c>
      <c r="G195" t="str">
        <f t="shared" si="33"/>
        <v>rigid_carbon * rigid_PS_WG_INC_mass_incineration</v>
      </c>
      <c r="H195" s="104"/>
      <c r="I195" s="96"/>
      <c r="J195" s="14"/>
      <c r="K195" s="14"/>
      <c r="L195" s="14"/>
      <c r="M195" s="14"/>
      <c r="N195" s="14"/>
    </row>
    <row r="196" spans="1:14" x14ac:dyDescent="0.2">
      <c r="A196" s="14"/>
      <c r="B196" s="220"/>
      <c r="C196" s="6" t="str">
        <f t="shared" si="30"/>
        <v>Other</v>
      </c>
      <c r="D196" t="s">
        <v>2377</v>
      </c>
      <c r="E196">
        <f>$C$180*E70</f>
        <v>38.477999999999987</v>
      </c>
      <c r="F196" t="str">
        <f t="shared" si="32"/>
        <v>kg C</v>
      </c>
      <c r="G196" t="str">
        <f t="shared" si="33"/>
        <v>rigid_carbon * rigid_Oth_WG_INC_mass_incineration</v>
      </c>
      <c r="H196" s="104"/>
      <c r="I196" s="96"/>
      <c r="J196" s="14"/>
      <c r="K196" s="14"/>
      <c r="L196" s="14"/>
      <c r="M196" s="14"/>
      <c r="N196" s="14"/>
    </row>
    <row r="197" spans="1:14" x14ac:dyDescent="0.2">
      <c r="A197" s="14"/>
      <c r="B197" s="220" t="s">
        <v>42</v>
      </c>
      <c r="C197" s="6" t="str">
        <f t="shared" si="30"/>
        <v>PET</v>
      </c>
      <c r="D197" t="s">
        <v>2427</v>
      </c>
      <c r="E197">
        <f>$C$181*E71</f>
        <v>0</v>
      </c>
      <c r="F197" t="str">
        <f t="shared" si="32"/>
        <v>kg C</v>
      </c>
      <c r="G197" t="str">
        <f>$B$181&amp;" * "&amp;D71</f>
        <v>soft_carbon * soft_PET_WG_INC_mass_incineration</v>
      </c>
      <c r="H197" s="104"/>
      <c r="I197" s="14"/>
      <c r="J197" s="14"/>
      <c r="K197" s="14"/>
      <c r="L197" s="14"/>
      <c r="M197" s="14"/>
      <c r="N197" s="14"/>
    </row>
    <row r="198" spans="1:14" x14ac:dyDescent="0.2">
      <c r="A198" s="14"/>
      <c r="B198" s="220"/>
      <c r="C198" s="6" t="str">
        <f t="shared" si="30"/>
        <v>PE</v>
      </c>
      <c r="D198" t="s">
        <v>2378</v>
      </c>
      <c r="E198">
        <f>$C$181*E72</f>
        <v>210.25872000000001</v>
      </c>
      <c r="F198" t="str">
        <f t="shared" si="32"/>
        <v>kg C</v>
      </c>
      <c r="G198" t="str">
        <f t="shared" ref="G198:G201" si="34">$B$181&amp;" * "&amp;D72</f>
        <v>soft_carbon * soft_PE_WG_INC_mass_incineration</v>
      </c>
      <c r="H198" s="104"/>
      <c r="I198" s="14"/>
      <c r="J198" s="14"/>
      <c r="K198" s="14"/>
      <c r="L198" s="14"/>
      <c r="M198" s="14"/>
      <c r="N198" s="14"/>
    </row>
    <row r="199" spans="1:14" x14ac:dyDescent="0.2">
      <c r="A199" s="14"/>
      <c r="B199" s="220"/>
      <c r="C199" s="6" t="str">
        <f t="shared" si="30"/>
        <v>PP</v>
      </c>
      <c r="D199" t="s">
        <v>2379</v>
      </c>
      <c r="E199">
        <f>$C$181*E73</f>
        <v>0</v>
      </c>
      <c r="F199" t="str">
        <f t="shared" si="32"/>
        <v>kg C</v>
      </c>
      <c r="G199" t="str">
        <f t="shared" si="34"/>
        <v>soft_carbon * soft_PP_WG_INC_mass_incineration</v>
      </c>
      <c r="H199" s="104"/>
      <c r="I199" s="14"/>
      <c r="J199" s="14"/>
      <c r="K199" s="14"/>
      <c r="L199" s="14"/>
      <c r="M199" s="14"/>
      <c r="N199" s="14"/>
    </row>
    <row r="200" spans="1:14" x14ac:dyDescent="0.2">
      <c r="A200" s="14"/>
      <c r="B200" s="220"/>
      <c r="C200" s="6" t="str">
        <f t="shared" si="30"/>
        <v>PS</v>
      </c>
      <c r="D200" t="s">
        <v>2380</v>
      </c>
      <c r="E200">
        <f>$C$181*E74</f>
        <v>0</v>
      </c>
      <c r="F200" t="str">
        <f t="shared" si="32"/>
        <v>kg C</v>
      </c>
      <c r="G200" t="str">
        <f t="shared" si="34"/>
        <v>soft_carbon * soft_PS_WG_INC_mass_incineration</v>
      </c>
      <c r="H200" s="104"/>
      <c r="I200" s="96"/>
      <c r="J200" s="14"/>
      <c r="K200" s="14"/>
      <c r="L200" s="14"/>
      <c r="M200" s="14"/>
      <c r="N200" s="14"/>
    </row>
    <row r="201" spans="1:14" x14ac:dyDescent="0.2">
      <c r="A201" s="14"/>
      <c r="B201" s="220"/>
      <c r="C201" s="6" t="str">
        <f t="shared" si="30"/>
        <v>Other</v>
      </c>
      <c r="D201" t="s">
        <v>2381</v>
      </c>
      <c r="E201">
        <f>$C$181*E75</f>
        <v>70.086240000000018</v>
      </c>
      <c r="F201" t="str">
        <f>F200</f>
        <v>kg C</v>
      </c>
      <c r="G201" t="str">
        <f t="shared" si="34"/>
        <v>soft_carbon * soft_Oth_WG_INC_mass_incineration</v>
      </c>
      <c r="H201" s="104"/>
      <c r="I201" s="96"/>
      <c r="J201" s="14"/>
      <c r="K201" s="14"/>
      <c r="L201" s="14"/>
      <c r="M201" s="14"/>
      <c r="N201" s="14"/>
    </row>
    <row r="202" spans="1:14" x14ac:dyDescent="0.2">
      <c r="A202" s="14"/>
      <c r="B202" s="220" t="s">
        <v>19</v>
      </c>
      <c r="C202" s="6" t="str">
        <f t="shared" si="30"/>
        <v>PET</v>
      </c>
      <c r="D202" t="s">
        <v>2382</v>
      </c>
      <c r="E202">
        <f>$C$182*E76</f>
        <v>0</v>
      </c>
      <c r="F202" t="str">
        <f t="shared" si="32"/>
        <v>kg C</v>
      </c>
      <c r="G202" t="str">
        <f>$B$182&amp;" * "&amp;D76</f>
        <v>nonrec_carbon * other_PET_WG_INC_mass_incineration</v>
      </c>
      <c r="H202" s="104"/>
      <c r="I202" s="96"/>
      <c r="J202" s="14"/>
      <c r="K202" s="14"/>
      <c r="L202" s="14"/>
      <c r="M202" s="14"/>
      <c r="N202" s="14"/>
    </row>
    <row r="203" spans="1:14" x14ac:dyDescent="0.2">
      <c r="A203" s="14"/>
      <c r="B203" s="220"/>
      <c r="C203" s="6" t="str">
        <f t="shared" si="30"/>
        <v>PE</v>
      </c>
      <c r="D203" t="s">
        <v>2383</v>
      </c>
      <c r="E203">
        <f>$C$182*E77</f>
        <v>0</v>
      </c>
      <c r="F203" t="str">
        <f t="shared" si="32"/>
        <v>kg C</v>
      </c>
      <c r="G203" t="str">
        <f t="shared" ref="G203:G206" si="35">$B$182&amp;" * "&amp;D77</f>
        <v>nonrec_carbon * other_PE_WG_INC_mass_incineration</v>
      </c>
      <c r="H203" s="104"/>
      <c r="I203" s="96"/>
      <c r="J203" s="14"/>
      <c r="K203" s="14"/>
      <c r="L203" s="14"/>
      <c r="M203" s="14"/>
      <c r="N203" s="14"/>
    </row>
    <row r="204" spans="1:14" x14ac:dyDescent="0.2">
      <c r="A204" s="14"/>
      <c r="B204" s="220"/>
      <c r="C204" s="6" t="str">
        <f t="shared" si="30"/>
        <v>PP</v>
      </c>
      <c r="D204" t="s">
        <v>2384</v>
      </c>
      <c r="E204">
        <f>$C$182*E78</f>
        <v>0</v>
      </c>
      <c r="F204" t="str">
        <f t="shared" si="32"/>
        <v>kg C</v>
      </c>
      <c r="G204" t="str">
        <f t="shared" si="35"/>
        <v>nonrec_carbon * other_PP_WG_INC_mass_incineration</v>
      </c>
      <c r="H204" s="104"/>
      <c r="I204" s="96"/>
      <c r="J204" s="14"/>
      <c r="K204" s="14"/>
      <c r="L204" s="14"/>
      <c r="M204" s="14"/>
      <c r="N204" s="14"/>
    </row>
    <row r="205" spans="1:14" x14ac:dyDescent="0.2">
      <c r="A205" s="14"/>
      <c r="B205" s="220"/>
      <c r="C205" s="6" t="str">
        <f t="shared" si="30"/>
        <v>PS</v>
      </c>
      <c r="D205" t="s">
        <v>2385</v>
      </c>
      <c r="E205">
        <f>$C$182*E79</f>
        <v>0</v>
      </c>
      <c r="F205" t="str">
        <f t="shared" si="32"/>
        <v>kg C</v>
      </c>
      <c r="G205" t="str">
        <f t="shared" si="35"/>
        <v>nonrec_carbon * other_PS_WG_INC_mass_incineration</v>
      </c>
      <c r="H205" s="104"/>
      <c r="I205" s="96"/>
      <c r="J205" s="14"/>
      <c r="K205" s="14"/>
      <c r="L205" s="14"/>
      <c r="M205" s="14"/>
      <c r="N205" s="14"/>
    </row>
    <row r="206" spans="1:14" x14ac:dyDescent="0.2">
      <c r="A206" s="14"/>
      <c r="B206" s="220"/>
      <c r="C206" s="6" t="str">
        <f t="shared" si="30"/>
        <v>Other</v>
      </c>
      <c r="D206" t="s">
        <v>2386</v>
      </c>
      <c r="E206">
        <f>$C$182*E80</f>
        <v>65.587399999999946</v>
      </c>
      <c r="F206" t="str">
        <f t="shared" si="32"/>
        <v>kg C</v>
      </c>
      <c r="G206" t="str">
        <f t="shared" si="35"/>
        <v>nonrec_carbon * other_Oth_WG_INC_mass_incineration</v>
      </c>
      <c r="H206" s="104"/>
      <c r="I206" s="96"/>
      <c r="J206" s="14"/>
      <c r="K206" s="14"/>
      <c r="L206" s="14"/>
      <c r="M206" s="14"/>
      <c r="N206" s="14"/>
    </row>
    <row r="207" spans="1:14" ht="25" customHeight="1" x14ac:dyDescent="0.2">
      <c r="A207" s="14"/>
      <c r="B207" s="214" t="s">
        <v>45</v>
      </c>
      <c r="C207" s="214"/>
      <c r="D207" s="214"/>
      <c r="E207" s="214"/>
      <c r="F207" s="214"/>
      <c r="G207" s="214"/>
      <c r="H207" s="15"/>
      <c r="I207" s="15"/>
      <c r="J207" s="15"/>
      <c r="K207" s="15"/>
      <c r="L207" s="15"/>
      <c r="M207" s="15"/>
      <c r="N207" s="14"/>
    </row>
    <row r="208" spans="1:14" x14ac:dyDescent="0.2">
      <c r="A208" s="14"/>
      <c r="B208" s="53" t="s">
        <v>49</v>
      </c>
      <c r="C208" s="53" t="s">
        <v>3</v>
      </c>
      <c r="D208" s="53" t="s">
        <v>4</v>
      </c>
      <c r="E208" s="53" t="s">
        <v>7</v>
      </c>
      <c r="F208" s="10"/>
      <c r="G208" s="10"/>
      <c r="H208" s="17"/>
      <c r="I208" s="17"/>
      <c r="J208" s="17"/>
      <c r="K208" s="17"/>
      <c r="L208" s="43"/>
      <c r="M208" s="43"/>
      <c r="N208" s="14"/>
    </row>
    <row r="209" spans="1:14" x14ac:dyDescent="0.2">
      <c r="A209" s="14"/>
      <c r="B209" t="s">
        <v>2503</v>
      </c>
      <c r="C209">
        <f>SUM(E187:E191)</f>
        <v>206.20799999999997</v>
      </c>
      <c r="D209" t="s">
        <v>96</v>
      </c>
      <c r="E209" t="s">
        <v>1992</v>
      </c>
      <c r="F209" s="2"/>
      <c r="G209" s="2"/>
      <c r="H209" s="14"/>
      <c r="I209" s="14"/>
      <c r="J209" s="14"/>
      <c r="K209" s="14"/>
      <c r="L209" s="15"/>
      <c r="M209" s="15"/>
      <c r="N209" s="14"/>
    </row>
    <row r="210" spans="1:14" x14ac:dyDescent="0.2">
      <c r="A210" s="14"/>
      <c r="B210" t="s">
        <v>2504</v>
      </c>
      <c r="C210">
        <f>SUM(E192:E196)</f>
        <v>153.91200000000001</v>
      </c>
      <c r="D210" t="str">
        <f>D209</f>
        <v>kg C</v>
      </c>
      <c r="E210" t="s">
        <v>1993</v>
      </c>
      <c r="F210" s="2"/>
      <c r="G210" s="2"/>
      <c r="H210" s="14"/>
      <c r="I210" s="14"/>
      <c r="J210" s="14"/>
      <c r="K210" s="14"/>
      <c r="L210" s="15"/>
      <c r="M210" s="15"/>
      <c r="N210" s="14"/>
    </row>
    <row r="211" spans="1:14" x14ac:dyDescent="0.2">
      <c r="A211" s="14"/>
      <c r="B211" t="s">
        <v>2505</v>
      </c>
      <c r="C211">
        <f>SUM(E197:E201)</f>
        <v>280.34496000000001</v>
      </c>
      <c r="D211" t="s">
        <v>96</v>
      </c>
      <c r="E211" t="s">
        <v>1994</v>
      </c>
      <c r="F211" s="2"/>
      <c r="G211" s="2"/>
      <c r="H211" s="14"/>
      <c r="I211" s="14"/>
      <c r="J211" s="14"/>
      <c r="K211" s="14"/>
      <c r="L211" s="15"/>
      <c r="M211" s="15"/>
      <c r="N211" s="14"/>
    </row>
    <row r="212" spans="1:14" ht="16" thickBot="1" x14ac:dyDescent="0.25">
      <c r="A212" s="14"/>
      <c r="B212" s="8" t="s">
        <v>2506</v>
      </c>
      <c r="C212" s="88">
        <f>SUM(E202:E206)</f>
        <v>65.587399999999946</v>
      </c>
      <c r="D212" s="8" t="s">
        <v>96</v>
      </c>
      <c r="E212" s="8" t="s">
        <v>1995</v>
      </c>
      <c r="F212" s="8"/>
      <c r="G212" s="8"/>
      <c r="H212" s="14"/>
      <c r="I212" s="96"/>
      <c r="J212" s="14"/>
      <c r="K212" s="14"/>
      <c r="L212" s="14"/>
      <c r="M212" s="14"/>
      <c r="N212" s="14"/>
    </row>
    <row r="213" spans="1:14" ht="16" thickTop="1" x14ac:dyDescent="0.2">
      <c r="A213" s="14"/>
      <c r="B213" s="44" t="s">
        <v>2502</v>
      </c>
      <c r="C213" s="44">
        <f>SUM(E187:E206)</f>
        <v>706.05235999999991</v>
      </c>
      <c r="D213" s="44" t="s">
        <v>96</v>
      </c>
      <c r="E213" s="44" t="s">
        <v>1996</v>
      </c>
      <c r="F213" s="56"/>
      <c r="G213" s="56"/>
      <c r="H213" s="14"/>
      <c r="I213" s="14"/>
      <c r="J213" s="14"/>
      <c r="K213" s="14"/>
      <c r="L213" s="15"/>
      <c r="M213" s="15"/>
      <c r="N213" s="14"/>
    </row>
    <row r="214" spans="1:14" x14ac:dyDescent="0.2">
      <c r="A214" s="14"/>
      <c r="B214" s="125" t="s">
        <v>2704</v>
      </c>
      <c r="C214" s="138" t="str">
        <f>IF(C213=C179*(C32*C34)+C180*(C32*C35)+C181*(C32*C36)+C182*(C32*C37),"true")</f>
        <v>true</v>
      </c>
      <c r="D214" s="125"/>
      <c r="E214" s="125"/>
      <c r="F214" s="125"/>
      <c r="G214" s="125"/>
      <c r="H214" s="15"/>
      <c r="I214" s="16"/>
      <c r="J214" s="15"/>
      <c r="K214" s="15"/>
      <c r="L214" s="15"/>
      <c r="M214" s="15"/>
      <c r="N214" s="14"/>
    </row>
    <row r="215" spans="1:14" x14ac:dyDescent="0.2">
      <c r="A215" s="14"/>
      <c r="B215" s="15"/>
      <c r="C215" s="16"/>
      <c r="D215" s="15"/>
      <c r="E215" s="15"/>
      <c r="F215" s="15"/>
      <c r="G215" s="15"/>
      <c r="H215" s="15"/>
      <c r="I215" s="16"/>
      <c r="J215" s="15"/>
      <c r="K215" s="15"/>
      <c r="L215" s="15"/>
      <c r="M215" s="15"/>
      <c r="N215" s="14"/>
    </row>
    <row r="216" spans="1:14" x14ac:dyDescent="0.2">
      <c r="A216" s="14"/>
      <c r="B216" s="15"/>
      <c r="C216" s="16"/>
      <c r="D216" s="15"/>
      <c r="E216" s="15"/>
      <c r="F216" s="15"/>
      <c r="G216" s="15"/>
      <c r="H216" s="15"/>
      <c r="I216" s="16"/>
      <c r="J216" s="15"/>
      <c r="K216" s="15"/>
      <c r="L216" s="15"/>
      <c r="M216" s="15"/>
      <c r="N216" s="14"/>
    </row>
    <row r="217" spans="1:14" x14ac:dyDescent="0.2">
      <c r="A217" s="14"/>
      <c r="B217" s="15"/>
      <c r="C217" s="16"/>
      <c r="D217" s="15"/>
      <c r="E217" s="15"/>
      <c r="F217" s="15"/>
      <c r="G217" s="15"/>
      <c r="H217" s="15"/>
      <c r="I217" s="16"/>
      <c r="J217" s="15"/>
      <c r="K217" s="15"/>
      <c r="L217" s="15"/>
      <c r="M217" s="15"/>
      <c r="N217" s="14"/>
    </row>
    <row r="218" spans="1:14" ht="25" customHeight="1" x14ac:dyDescent="0.2">
      <c r="A218" s="14"/>
      <c r="B218" s="214" t="s">
        <v>117</v>
      </c>
      <c r="C218" s="214"/>
      <c r="D218" s="214"/>
      <c r="E218" s="214"/>
      <c r="F218" s="214"/>
      <c r="G218" s="214"/>
      <c r="H218" s="214"/>
      <c r="I218" s="214"/>
      <c r="J218" s="214"/>
      <c r="K218" s="214"/>
      <c r="L218" s="214"/>
      <c r="M218" s="214"/>
      <c r="N218" s="14"/>
    </row>
    <row r="219" spans="1:14" ht="25" customHeight="1" x14ac:dyDescent="0.2">
      <c r="A219" s="14"/>
      <c r="B219" s="214" t="s">
        <v>127</v>
      </c>
      <c r="C219" s="214"/>
      <c r="D219" s="214"/>
      <c r="E219" s="214"/>
      <c r="F219" s="214"/>
      <c r="G219" s="214"/>
      <c r="H219" s="214"/>
      <c r="I219" s="214"/>
      <c r="J219" s="214"/>
      <c r="K219" s="214"/>
      <c r="L219" s="214"/>
      <c r="M219" s="214"/>
      <c r="N219" s="14"/>
    </row>
    <row r="220" spans="1:14" x14ac:dyDescent="0.2">
      <c r="A220" s="14"/>
      <c r="B220" s="225" t="s">
        <v>118</v>
      </c>
      <c r="C220" s="225"/>
      <c r="D220" s="225"/>
      <c r="E220" s="225"/>
      <c r="F220" s="225"/>
      <c r="G220" s="225"/>
      <c r="H220" s="225" t="s">
        <v>128</v>
      </c>
      <c r="I220" s="225"/>
      <c r="J220" s="225"/>
      <c r="K220" s="225"/>
      <c r="L220" s="225"/>
      <c r="M220" s="225"/>
      <c r="N220" s="14"/>
    </row>
    <row r="221" spans="1:14" x14ac:dyDescent="0.2">
      <c r="A221" s="14"/>
      <c r="B221" s="2" t="s">
        <v>21</v>
      </c>
      <c r="C221" s="2" t="s">
        <v>20</v>
      </c>
      <c r="D221" s="2" t="s">
        <v>99</v>
      </c>
      <c r="E221" s="2" t="s">
        <v>3</v>
      </c>
      <c r="F221" s="2" t="s">
        <v>4</v>
      </c>
      <c r="G221" s="2" t="s">
        <v>43</v>
      </c>
      <c r="H221" s="2" t="str">
        <f>B221</f>
        <v>Fraction</v>
      </c>
      <c r="I221" s="2" t="str">
        <f t="shared" ref="I221:M221" si="36">C221</f>
        <v>Sub-fraction</v>
      </c>
      <c r="J221" s="2" t="str">
        <f t="shared" si="36"/>
        <v>Name</v>
      </c>
      <c r="K221" s="2" t="str">
        <f t="shared" si="36"/>
        <v>Value</v>
      </c>
      <c r="L221" s="2" t="str">
        <f t="shared" si="36"/>
        <v>Unit</v>
      </c>
      <c r="M221" s="2" t="str">
        <f t="shared" si="36"/>
        <v>Equation</v>
      </c>
      <c r="N221" s="14"/>
    </row>
    <row r="222" spans="1:14" x14ac:dyDescent="0.2">
      <c r="A222" s="14"/>
      <c r="B222" s="221" t="s">
        <v>14</v>
      </c>
      <c r="C222" s="6" t="str">
        <f>C187</f>
        <v>PET</v>
      </c>
      <c r="D222" t="s">
        <v>2387</v>
      </c>
      <c r="E222">
        <v>0</v>
      </c>
      <c r="F222" t="s">
        <v>96</v>
      </c>
      <c r="G222" t="s">
        <v>2567</v>
      </c>
      <c r="H222" s="221" t="str">
        <f>B222</f>
        <v>Bottle</v>
      </c>
      <c r="I222" s="6" t="str">
        <f>C222</f>
        <v>PET</v>
      </c>
      <c r="J222" t="s">
        <v>2407</v>
      </c>
      <c r="K222" s="33">
        <f>E187</f>
        <v>158.09279999999998</v>
      </c>
      <c r="L222" t="s">
        <v>96</v>
      </c>
      <c r="M222" t="str">
        <f>D187&amp;" - "&amp;D222</f>
        <v>bottle_PET_WG_INC_carbon_incineration - bottle_PET_INC_ASH_carbon_incineration</v>
      </c>
      <c r="N222" s="14" t="s">
        <v>1005</v>
      </c>
    </row>
    <row r="223" spans="1:14" x14ac:dyDescent="0.2">
      <c r="A223" s="14"/>
      <c r="B223" s="221"/>
      <c r="C223" s="6" t="str">
        <f t="shared" ref="C223:C241" si="37">C188</f>
        <v>PE</v>
      </c>
      <c r="D223" t="s">
        <v>2388</v>
      </c>
      <c r="E223">
        <f>0</f>
        <v>0</v>
      </c>
      <c r="F223" t="str">
        <f>F222</f>
        <v>kg C</v>
      </c>
      <c r="G223" t="s">
        <v>2567</v>
      </c>
      <c r="H223" s="221"/>
      <c r="I223" s="6" t="str">
        <f t="shared" ref="I223:I241" si="38">C223</f>
        <v>PE</v>
      </c>
      <c r="J223" t="s">
        <v>2408</v>
      </c>
      <c r="K223" s="33">
        <f t="shared" ref="K223:K241" si="39">E188</f>
        <v>48.115200000000002</v>
      </c>
      <c r="L223" t="str">
        <f>L222</f>
        <v>kg C</v>
      </c>
      <c r="M223" t="str">
        <f t="shared" ref="M223:M241" si="40">D188&amp;" - "&amp;D223</f>
        <v>bottle_PE_WG_INC_carbon_incineration - bottle_PE_INC_ASH_carbon_incineration</v>
      </c>
      <c r="N223" s="14" t="s">
        <v>1005</v>
      </c>
    </row>
    <row r="224" spans="1:14" x14ac:dyDescent="0.2">
      <c r="A224" s="14"/>
      <c r="B224" s="221"/>
      <c r="C224" s="6" t="str">
        <f t="shared" si="37"/>
        <v>PP</v>
      </c>
      <c r="D224" t="s">
        <v>2389</v>
      </c>
      <c r="E224">
        <f>0</f>
        <v>0</v>
      </c>
      <c r="F224" t="str">
        <f>F223</f>
        <v>kg C</v>
      </c>
      <c r="G224" t="s">
        <v>2567</v>
      </c>
      <c r="H224" s="221"/>
      <c r="I224" s="6" t="str">
        <f t="shared" si="38"/>
        <v>PP</v>
      </c>
      <c r="J224" t="s">
        <v>2409</v>
      </c>
      <c r="K224" s="33">
        <f t="shared" si="39"/>
        <v>0</v>
      </c>
      <c r="L224" t="str">
        <f>L223</f>
        <v>kg C</v>
      </c>
      <c r="M224" t="str">
        <f t="shared" si="40"/>
        <v>bottle_PP_WG_INC_carbon_incineration - bottle_PP_INC_ASH_carbon_incineration</v>
      </c>
      <c r="N224" s="14" t="s">
        <v>1005</v>
      </c>
    </row>
    <row r="225" spans="1:14" x14ac:dyDescent="0.2">
      <c r="A225" s="14"/>
      <c r="B225" s="221"/>
      <c r="C225" s="6" t="str">
        <f t="shared" si="37"/>
        <v>PS</v>
      </c>
      <c r="D225" t="s">
        <v>2390</v>
      </c>
      <c r="E225">
        <f>0</f>
        <v>0</v>
      </c>
      <c r="F225" t="str">
        <f t="shared" ref="F225:F241" si="41">F224</f>
        <v>kg C</v>
      </c>
      <c r="G225" t="s">
        <v>2567</v>
      </c>
      <c r="H225" s="221"/>
      <c r="I225" s="6" t="str">
        <f t="shared" si="38"/>
        <v>PS</v>
      </c>
      <c r="J225" t="s">
        <v>2410</v>
      </c>
      <c r="K225" s="33">
        <f t="shared" si="39"/>
        <v>0</v>
      </c>
      <c r="L225" t="str">
        <f t="shared" ref="L225:L241" si="42">L224</f>
        <v>kg C</v>
      </c>
      <c r="M225" t="str">
        <f t="shared" si="40"/>
        <v>bottle_PS_WG_INC_carbon_incineration - bottle_PS_INC_ASH_carbon_incineration</v>
      </c>
      <c r="N225" s="14" t="s">
        <v>1005</v>
      </c>
    </row>
    <row r="226" spans="1:14" x14ac:dyDescent="0.2">
      <c r="A226" s="14"/>
      <c r="B226" s="221"/>
      <c r="C226" s="6" t="str">
        <f t="shared" si="37"/>
        <v>Other</v>
      </c>
      <c r="D226" t="s">
        <v>2391</v>
      </c>
      <c r="E226">
        <f>0</f>
        <v>0</v>
      </c>
      <c r="F226" t="str">
        <f>F225</f>
        <v>kg C</v>
      </c>
      <c r="G226" t="s">
        <v>2567</v>
      </c>
      <c r="H226" s="221"/>
      <c r="I226" s="6" t="str">
        <f t="shared" si="38"/>
        <v>Other</v>
      </c>
      <c r="J226" t="s">
        <v>2411</v>
      </c>
      <c r="K226" s="33">
        <f t="shared" si="39"/>
        <v>0</v>
      </c>
      <c r="L226" t="str">
        <f>L225</f>
        <v>kg C</v>
      </c>
      <c r="M226" t="str">
        <f t="shared" si="40"/>
        <v>bottle_Oth_WG_INC_carbon_incineration - bottle_Oth_INC_ASH_carbon_incineration</v>
      </c>
      <c r="N226" s="14" t="s">
        <v>1005</v>
      </c>
    </row>
    <row r="227" spans="1:14" x14ac:dyDescent="0.2">
      <c r="A227" s="14"/>
      <c r="B227" s="221" t="s">
        <v>15</v>
      </c>
      <c r="C227" s="6" t="str">
        <f t="shared" si="37"/>
        <v>PET</v>
      </c>
      <c r="D227" t="s">
        <v>2392</v>
      </c>
      <c r="E227">
        <f>0</f>
        <v>0</v>
      </c>
      <c r="F227" t="str">
        <f t="shared" si="41"/>
        <v>kg C</v>
      </c>
      <c r="G227" t="s">
        <v>2567</v>
      </c>
      <c r="H227" s="221" t="s">
        <v>15</v>
      </c>
      <c r="I227" s="6" t="str">
        <f t="shared" si="38"/>
        <v>PET</v>
      </c>
      <c r="J227" t="s">
        <v>2412</v>
      </c>
      <c r="K227" s="33">
        <f t="shared" si="39"/>
        <v>30.782400000000003</v>
      </c>
      <c r="L227" t="str">
        <f t="shared" si="42"/>
        <v>kg C</v>
      </c>
      <c r="M227" t="str">
        <f t="shared" si="40"/>
        <v>rigid_PET_WG_INC_carbon_incineration - rigid_PET_INC_ASH_carbon_incineration</v>
      </c>
      <c r="N227" s="14" t="s">
        <v>1005</v>
      </c>
    </row>
    <row r="228" spans="1:14" x14ac:dyDescent="0.2">
      <c r="A228" s="14"/>
      <c r="B228" s="221"/>
      <c r="C228" s="6" t="str">
        <f t="shared" si="37"/>
        <v>PE</v>
      </c>
      <c r="D228" t="s">
        <v>2393</v>
      </c>
      <c r="E228">
        <f>0</f>
        <v>0</v>
      </c>
      <c r="F228" t="str">
        <f t="shared" si="41"/>
        <v>kg C</v>
      </c>
      <c r="G228" t="s">
        <v>2567</v>
      </c>
      <c r="H228" s="221"/>
      <c r="I228" s="6" t="str">
        <f t="shared" si="38"/>
        <v>PE</v>
      </c>
      <c r="J228" t="s">
        <v>2413</v>
      </c>
      <c r="K228" s="33">
        <f t="shared" si="39"/>
        <v>23.0868</v>
      </c>
      <c r="L228" t="str">
        <f t="shared" si="42"/>
        <v>kg C</v>
      </c>
      <c r="M228" t="str">
        <f t="shared" si="40"/>
        <v>rigid_PE_WG_INC_carbon_incineration - rigid_PE_INC_ASH_carbon_incineration</v>
      </c>
      <c r="N228" s="14" t="s">
        <v>1005</v>
      </c>
    </row>
    <row r="229" spans="1:14" x14ac:dyDescent="0.2">
      <c r="A229" s="14"/>
      <c r="B229" s="221"/>
      <c r="C229" s="6" t="str">
        <f t="shared" si="37"/>
        <v>PP</v>
      </c>
      <c r="D229" t="s">
        <v>2394</v>
      </c>
      <c r="E229">
        <f>0</f>
        <v>0</v>
      </c>
      <c r="F229" t="str">
        <f t="shared" si="41"/>
        <v>kg C</v>
      </c>
      <c r="G229" t="s">
        <v>2567</v>
      </c>
      <c r="H229" s="221"/>
      <c r="I229" s="6" t="str">
        <f t="shared" si="38"/>
        <v>PP</v>
      </c>
      <c r="J229" t="s">
        <v>2414</v>
      </c>
      <c r="K229" s="33">
        <f t="shared" si="39"/>
        <v>53.869199999999999</v>
      </c>
      <c r="L229" t="str">
        <f t="shared" si="42"/>
        <v>kg C</v>
      </c>
      <c r="M229" t="str">
        <f t="shared" si="40"/>
        <v>rigid_PP_WG_INC_carbon_incineration - rigid_PP_INC_ASH_carbon_incineration</v>
      </c>
      <c r="N229" s="14" t="s">
        <v>1005</v>
      </c>
    </row>
    <row r="230" spans="1:14" x14ac:dyDescent="0.2">
      <c r="A230" s="14"/>
      <c r="B230" s="221"/>
      <c r="C230" s="6" t="str">
        <f t="shared" si="37"/>
        <v>PS</v>
      </c>
      <c r="D230" t="s">
        <v>2395</v>
      </c>
      <c r="E230">
        <f>0</f>
        <v>0</v>
      </c>
      <c r="F230" t="str">
        <f t="shared" si="41"/>
        <v>kg C</v>
      </c>
      <c r="G230" t="s">
        <v>2567</v>
      </c>
      <c r="H230" s="221"/>
      <c r="I230" s="6" t="str">
        <f t="shared" si="38"/>
        <v>PS</v>
      </c>
      <c r="J230" t="s">
        <v>2415</v>
      </c>
      <c r="K230" s="33">
        <f t="shared" si="39"/>
        <v>7.6956000000000007</v>
      </c>
      <c r="L230" t="str">
        <f t="shared" si="42"/>
        <v>kg C</v>
      </c>
      <c r="M230" t="str">
        <f t="shared" si="40"/>
        <v>rigid_PS_WG_INC_carbon_incineration - rigid_PS_INC_ASH_carbon_incineration</v>
      </c>
      <c r="N230" s="14" t="s">
        <v>1005</v>
      </c>
    </row>
    <row r="231" spans="1:14" x14ac:dyDescent="0.2">
      <c r="A231" s="14"/>
      <c r="B231" s="221"/>
      <c r="C231" s="6" t="str">
        <f t="shared" si="37"/>
        <v>Other</v>
      </c>
      <c r="D231" t="s">
        <v>2396</v>
      </c>
      <c r="E231">
        <f>0</f>
        <v>0</v>
      </c>
      <c r="F231" t="str">
        <f t="shared" si="41"/>
        <v>kg C</v>
      </c>
      <c r="G231" t="s">
        <v>2567</v>
      </c>
      <c r="H231" s="221"/>
      <c r="I231" s="6" t="str">
        <f t="shared" si="38"/>
        <v>Other</v>
      </c>
      <c r="J231" t="s">
        <v>2416</v>
      </c>
      <c r="K231" s="33">
        <f t="shared" si="39"/>
        <v>38.477999999999987</v>
      </c>
      <c r="L231" t="str">
        <f t="shared" si="42"/>
        <v>kg C</v>
      </c>
      <c r="M231" t="str">
        <f t="shared" si="40"/>
        <v>rigid_Oth_WG_INC_carbon_incineration - rigid_Oth_INC_ASH_carbon_incineration</v>
      </c>
      <c r="N231" s="14" t="s">
        <v>1005</v>
      </c>
    </row>
    <row r="232" spans="1:14" x14ac:dyDescent="0.2">
      <c r="A232" s="14"/>
      <c r="B232" s="221" t="s">
        <v>42</v>
      </c>
      <c r="C232" s="6" t="str">
        <f t="shared" si="37"/>
        <v>PET</v>
      </c>
      <c r="D232" t="s">
        <v>2397</v>
      </c>
      <c r="E232">
        <f>0</f>
        <v>0</v>
      </c>
      <c r="F232" t="str">
        <f t="shared" si="41"/>
        <v>kg C</v>
      </c>
      <c r="G232" t="s">
        <v>2567</v>
      </c>
      <c r="H232" s="221" t="s">
        <v>42</v>
      </c>
      <c r="I232" s="6" t="str">
        <f t="shared" si="38"/>
        <v>PET</v>
      </c>
      <c r="J232" t="s">
        <v>2417</v>
      </c>
      <c r="K232" s="33">
        <f t="shared" si="39"/>
        <v>0</v>
      </c>
      <c r="L232" t="str">
        <f t="shared" si="42"/>
        <v>kg C</v>
      </c>
      <c r="M232" t="str">
        <f t="shared" si="40"/>
        <v>soft_PET_WG_INC_carbon_incineration - soft_PET_INC_ASH_carbon_incineration</v>
      </c>
      <c r="N232" s="14" t="s">
        <v>1005</v>
      </c>
    </row>
    <row r="233" spans="1:14" x14ac:dyDescent="0.2">
      <c r="A233" s="14"/>
      <c r="B233" s="221"/>
      <c r="C233" s="6" t="str">
        <f t="shared" si="37"/>
        <v>PE</v>
      </c>
      <c r="D233" t="s">
        <v>2398</v>
      </c>
      <c r="E233">
        <f>0</f>
        <v>0</v>
      </c>
      <c r="F233" t="str">
        <f t="shared" si="41"/>
        <v>kg C</v>
      </c>
      <c r="G233" t="s">
        <v>2567</v>
      </c>
      <c r="H233" s="221"/>
      <c r="I233" s="6" t="str">
        <f t="shared" si="38"/>
        <v>PE</v>
      </c>
      <c r="J233" t="s">
        <v>2418</v>
      </c>
      <c r="K233" s="33">
        <f t="shared" si="39"/>
        <v>210.25872000000001</v>
      </c>
      <c r="L233" t="str">
        <f t="shared" si="42"/>
        <v>kg C</v>
      </c>
      <c r="M233" t="str">
        <f t="shared" si="40"/>
        <v>soft_PE_WG_INC_carbon_incineration - soft_PE_INC_ASH_carbon_incineration</v>
      </c>
      <c r="N233" s="14" t="s">
        <v>1005</v>
      </c>
    </row>
    <row r="234" spans="1:14" x14ac:dyDescent="0.2">
      <c r="A234" s="14"/>
      <c r="B234" s="221"/>
      <c r="C234" s="6" t="str">
        <f t="shared" si="37"/>
        <v>PP</v>
      </c>
      <c r="D234" t="s">
        <v>2399</v>
      </c>
      <c r="E234">
        <f>0</f>
        <v>0</v>
      </c>
      <c r="F234" t="str">
        <f t="shared" si="41"/>
        <v>kg C</v>
      </c>
      <c r="G234" t="s">
        <v>2567</v>
      </c>
      <c r="H234" s="221"/>
      <c r="I234" s="6" t="str">
        <f t="shared" si="38"/>
        <v>PP</v>
      </c>
      <c r="J234" t="s">
        <v>2419</v>
      </c>
      <c r="K234" s="33">
        <f t="shared" si="39"/>
        <v>0</v>
      </c>
      <c r="L234" t="str">
        <f t="shared" si="42"/>
        <v>kg C</v>
      </c>
      <c r="M234" t="str">
        <f t="shared" si="40"/>
        <v>soft_PP_WG_INC_carbon_incineration - soft_PP_INC_ASH_carbon_incineration</v>
      </c>
      <c r="N234" s="14" t="s">
        <v>1005</v>
      </c>
    </row>
    <row r="235" spans="1:14" x14ac:dyDescent="0.2">
      <c r="A235" s="14"/>
      <c r="B235" s="221"/>
      <c r="C235" s="6" t="str">
        <f t="shared" si="37"/>
        <v>PS</v>
      </c>
      <c r="D235" t="s">
        <v>2400</v>
      </c>
      <c r="E235">
        <f>0</f>
        <v>0</v>
      </c>
      <c r="F235" t="str">
        <f t="shared" si="41"/>
        <v>kg C</v>
      </c>
      <c r="G235" t="s">
        <v>2567</v>
      </c>
      <c r="H235" s="221"/>
      <c r="I235" s="6" t="str">
        <f t="shared" si="38"/>
        <v>PS</v>
      </c>
      <c r="J235" t="s">
        <v>2420</v>
      </c>
      <c r="K235" s="33">
        <f t="shared" si="39"/>
        <v>0</v>
      </c>
      <c r="L235" t="str">
        <f t="shared" si="42"/>
        <v>kg C</v>
      </c>
      <c r="M235" t="str">
        <f t="shared" si="40"/>
        <v>soft_PS_WG_INC_carbon_incineration - soft_PS_INC_ASH_carbon_incineration</v>
      </c>
      <c r="N235" s="14" t="s">
        <v>1005</v>
      </c>
    </row>
    <row r="236" spans="1:14" x14ac:dyDescent="0.2">
      <c r="A236" s="14"/>
      <c r="B236" s="221"/>
      <c r="C236" s="6" t="str">
        <f t="shared" si="37"/>
        <v>Other</v>
      </c>
      <c r="D236" t="s">
        <v>2401</v>
      </c>
      <c r="E236">
        <f>0</f>
        <v>0</v>
      </c>
      <c r="F236" t="str">
        <f t="shared" si="41"/>
        <v>kg C</v>
      </c>
      <c r="G236" t="s">
        <v>2567</v>
      </c>
      <c r="H236" s="221"/>
      <c r="I236" s="6" t="str">
        <f t="shared" si="38"/>
        <v>Other</v>
      </c>
      <c r="J236" t="s">
        <v>2421</v>
      </c>
      <c r="K236" s="33">
        <f t="shared" si="39"/>
        <v>70.086240000000018</v>
      </c>
      <c r="L236" t="str">
        <f t="shared" si="42"/>
        <v>kg C</v>
      </c>
      <c r="M236" t="str">
        <f t="shared" si="40"/>
        <v>soft_Oth_WG_INC_carbon_incineration - soft_Oth_INC_ASH_carbon_incineration</v>
      </c>
      <c r="N236" s="14" t="s">
        <v>1005</v>
      </c>
    </row>
    <row r="237" spans="1:14" x14ac:dyDescent="0.2">
      <c r="A237" s="14"/>
      <c r="B237" s="221" t="s">
        <v>19</v>
      </c>
      <c r="C237" s="6" t="str">
        <f t="shared" si="37"/>
        <v>PET</v>
      </c>
      <c r="D237" t="s">
        <v>2402</v>
      </c>
      <c r="E237">
        <f>0</f>
        <v>0</v>
      </c>
      <c r="F237" t="str">
        <f t="shared" si="41"/>
        <v>kg C</v>
      </c>
      <c r="G237" t="s">
        <v>2567</v>
      </c>
      <c r="H237" s="221" t="s">
        <v>19</v>
      </c>
      <c r="I237" s="6" t="str">
        <f t="shared" si="38"/>
        <v>PET</v>
      </c>
      <c r="J237" t="s">
        <v>2422</v>
      </c>
      <c r="K237" s="33">
        <f t="shared" si="39"/>
        <v>0</v>
      </c>
      <c r="L237" t="str">
        <f t="shared" si="42"/>
        <v>kg C</v>
      </c>
      <c r="M237" t="str">
        <f t="shared" si="40"/>
        <v>other_PET_WG_INC_carbon_incineration - other_PET_INC_ASH_carbon_incineration</v>
      </c>
      <c r="N237" s="14" t="s">
        <v>1005</v>
      </c>
    </row>
    <row r="238" spans="1:14" x14ac:dyDescent="0.2">
      <c r="A238" s="14"/>
      <c r="B238" s="221"/>
      <c r="C238" s="6" t="str">
        <f t="shared" si="37"/>
        <v>PE</v>
      </c>
      <c r="D238" t="s">
        <v>2403</v>
      </c>
      <c r="E238">
        <f>0</f>
        <v>0</v>
      </c>
      <c r="F238" t="str">
        <f t="shared" si="41"/>
        <v>kg C</v>
      </c>
      <c r="G238" t="s">
        <v>2567</v>
      </c>
      <c r="H238" s="221"/>
      <c r="I238" s="6" t="str">
        <f t="shared" si="38"/>
        <v>PE</v>
      </c>
      <c r="J238" t="s">
        <v>2423</v>
      </c>
      <c r="K238" s="33">
        <f t="shared" si="39"/>
        <v>0</v>
      </c>
      <c r="L238" t="str">
        <f t="shared" si="42"/>
        <v>kg C</v>
      </c>
      <c r="M238" t="str">
        <f t="shared" si="40"/>
        <v>other_PE_WG_INC_carbon_incineration - other_PE_INC_ASH_carbon_incineration</v>
      </c>
      <c r="N238" s="14" t="s">
        <v>1005</v>
      </c>
    </row>
    <row r="239" spans="1:14" x14ac:dyDescent="0.2">
      <c r="A239" s="14"/>
      <c r="B239" s="221"/>
      <c r="C239" s="6" t="str">
        <f t="shared" si="37"/>
        <v>PP</v>
      </c>
      <c r="D239" t="s">
        <v>2404</v>
      </c>
      <c r="E239">
        <f>0</f>
        <v>0</v>
      </c>
      <c r="F239" t="str">
        <f t="shared" si="41"/>
        <v>kg C</v>
      </c>
      <c r="G239" t="s">
        <v>2567</v>
      </c>
      <c r="H239" s="221"/>
      <c r="I239" s="6" t="str">
        <f t="shared" si="38"/>
        <v>PP</v>
      </c>
      <c r="J239" t="s">
        <v>2424</v>
      </c>
      <c r="K239" s="33">
        <f t="shared" si="39"/>
        <v>0</v>
      </c>
      <c r="L239" t="str">
        <f t="shared" si="42"/>
        <v>kg C</v>
      </c>
      <c r="M239" t="str">
        <f t="shared" si="40"/>
        <v>other_PP_WG_INC_carbon_incineration - other_PP_INC_ASH_carbon_incineration</v>
      </c>
      <c r="N239" s="14" t="s">
        <v>1005</v>
      </c>
    </row>
    <row r="240" spans="1:14" x14ac:dyDescent="0.2">
      <c r="A240" s="14"/>
      <c r="B240" s="221"/>
      <c r="C240" s="6" t="str">
        <f t="shared" si="37"/>
        <v>PS</v>
      </c>
      <c r="D240" t="s">
        <v>2405</v>
      </c>
      <c r="E240">
        <f>0</f>
        <v>0</v>
      </c>
      <c r="F240" t="str">
        <f t="shared" si="41"/>
        <v>kg C</v>
      </c>
      <c r="G240" t="s">
        <v>2567</v>
      </c>
      <c r="H240" s="221"/>
      <c r="I240" s="6" t="str">
        <f t="shared" si="38"/>
        <v>PS</v>
      </c>
      <c r="J240" t="s">
        <v>2425</v>
      </c>
      <c r="K240" s="33">
        <f t="shared" si="39"/>
        <v>0</v>
      </c>
      <c r="L240" t="str">
        <f t="shared" si="42"/>
        <v>kg C</v>
      </c>
      <c r="M240" t="str">
        <f t="shared" si="40"/>
        <v>other_PS_WG_INC_carbon_incineration - other_PS_INC_ASH_carbon_incineration</v>
      </c>
      <c r="N240" s="14" t="s">
        <v>1005</v>
      </c>
    </row>
    <row r="241" spans="1:14" x14ac:dyDescent="0.2">
      <c r="A241" s="14"/>
      <c r="B241" s="221"/>
      <c r="C241" s="6" t="str">
        <f t="shared" si="37"/>
        <v>Other</v>
      </c>
      <c r="D241" t="s">
        <v>2406</v>
      </c>
      <c r="E241">
        <f>0</f>
        <v>0</v>
      </c>
      <c r="F241" t="str">
        <f t="shared" si="41"/>
        <v>kg C</v>
      </c>
      <c r="G241" t="s">
        <v>2567</v>
      </c>
      <c r="H241" s="221"/>
      <c r="I241" s="6" t="str">
        <f t="shared" si="38"/>
        <v>Other</v>
      </c>
      <c r="J241" t="s">
        <v>2426</v>
      </c>
      <c r="K241" s="33">
        <f t="shared" si="39"/>
        <v>65.587399999999946</v>
      </c>
      <c r="L241" t="str">
        <f t="shared" si="42"/>
        <v>kg C</v>
      </c>
      <c r="M241" t="str">
        <f t="shared" si="40"/>
        <v>other_Oth_WG_INC_carbon_incineration - other_Oth_INC_ASH_carbon_incineration</v>
      </c>
      <c r="N241" s="14" t="s">
        <v>1005</v>
      </c>
    </row>
    <row r="242" spans="1:14" ht="25" customHeight="1" x14ac:dyDescent="0.2">
      <c r="A242" s="14"/>
      <c r="B242" s="214" t="s">
        <v>166</v>
      </c>
      <c r="C242" s="214"/>
      <c r="D242" s="214"/>
      <c r="E242" s="214"/>
      <c r="F242" s="214"/>
      <c r="G242" s="214"/>
      <c r="H242" s="214"/>
      <c r="I242" s="214"/>
      <c r="J242" s="214"/>
      <c r="K242" s="214"/>
      <c r="L242" s="214"/>
      <c r="M242" s="214"/>
      <c r="N242" s="14"/>
    </row>
    <row r="243" spans="1:14" x14ac:dyDescent="0.2">
      <c r="A243" s="14"/>
      <c r="B243" s="2" t="s">
        <v>46</v>
      </c>
      <c r="C243" s="2" t="s">
        <v>3</v>
      </c>
      <c r="D243" s="2" t="s">
        <v>4</v>
      </c>
      <c r="E243" s="2" t="s">
        <v>7</v>
      </c>
      <c r="F243" s="2"/>
      <c r="G243" s="2"/>
      <c r="H243" s="2" t="s">
        <v>46</v>
      </c>
      <c r="I243" s="2" t="s">
        <v>3</v>
      </c>
      <c r="J243" s="2" t="s">
        <v>4</v>
      </c>
      <c r="K243" s="2" t="s">
        <v>7</v>
      </c>
      <c r="L243" s="2"/>
      <c r="M243" s="2"/>
      <c r="N243" s="14"/>
    </row>
    <row r="244" spans="1:14" x14ac:dyDescent="0.2">
      <c r="A244" s="14"/>
      <c r="B244" t="s">
        <v>2507</v>
      </c>
      <c r="C244">
        <f>SUM(E222:E226)</f>
        <v>0</v>
      </c>
      <c r="D244" t="s">
        <v>96</v>
      </c>
      <c r="E244" t="s">
        <v>1110</v>
      </c>
      <c r="H244" t="s">
        <v>2512</v>
      </c>
      <c r="I244" s="33">
        <f>SUM(K222:K226)</f>
        <v>206.20799999999997</v>
      </c>
      <c r="J244" t="s">
        <v>96</v>
      </c>
      <c r="K244" t="s">
        <v>1115</v>
      </c>
      <c r="N244" s="14"/>
    </row>
    <row r="245" spans="1:14" x14ac:dyDescent="0.2">
      <c r="A245" s="14"/>
      <c r="B245" t="s">
        <v>2508</v>
      </c>
      <c r="C245">
        <f>SUM(E227:E231)</f>
        <v>0</v>
      </c>
      <c r="D245" t="str">
        <f>D244</f>
        <v>kg C</v>
      </c>
      <c r="E245" t="s">
        <v>1111</v>
      </c>
      <c r="H245" t="s">
        <v>2513</v>
      </c>
      <c r="I245" s="33">
        <f>SUM(K227:K231)</f>
        <v>153.91200000000001</v>
      </c>
      <c r="J245" t="str">
        <f>J244</f>
        <v>kg C</v>
      </c>
      <c r="K245" t="s">
        <v>1116</v>
      </c>
      <c r="N245" s="14"/>
    </row>
    <row r="246" spans="1:14" x14ac:dyDescent="0.2">
      <c r="A246" s="14"/>
      <c r="B246" t="s">
        <v>2509</v>
      </c>
      <c r="C246">
        <f>SUM(E232:E236)</f>
        <v>0</v>
      </c>
      <c r="D246" t="str">
        <f t="shared" ref="D246" si="43">D245</f>
        <v>kg C</v>
      </c>
      <c r="E246" t="s">
        <v>1112</v>
      </c>
      <c r="H246" t="s">
        <v>2514</v>
      </c>
      <c r="I246" s="33">
        <f>SUM(K232:K236)</f>
        <v>280.34496000000001</v>
      </c>
      <c r="J246" t="str">
        <f t="shared" ref="J246:J247" si="44">J245</f>
        <v>kg C</v>
      </c>
      <c r="K246" t="s">
        <v>1117</v>
      </c>
      <c r="N246" s="14"/>
    </row>
    <row r="247" spans="1:14" ht="16" thickBot="1" x14ac:dyDescent="0.25">
      <c r="A247" s="14"/>
      <c r="B247" s="8" t="s">
        <v>2510</v>
      </c>
      <c r="C247" s="8">
        <f>SUM(E237:E241)</f>
        <v>0</v>
      </c>
      <c r="D247" s="8" t="str">
        <f>D246</f>
        <v>kg C</v>
      </c>
      <c r="E247" s="8" t="s">
        <v>1113</v>
      </c>
      <c r="F247" s="8"/>
      <c r="G247" s="8"/>
      <c r="H247" s="8" t="s">
        <v>2515</v>
      </c>
      <c r="I247" s="34">
        <f>SUM(K237:K241)</f>
        <v>65.587399999999946</v>
      </c>
      <c r="J247" s="8" t="str">
        <f t="shared" si="44"/>
        <v>kg C</v>
      </c>
      <c r="K247" s="8" t="s">
        <v>1118</v>
      </c>
      <c r="L247" s="8"/>
      <c r="M247" s="8"/>
      <c r="N247" s="14"/>
    </row>
    <row r="248" spans="1:14" ht="16" thickTop="1" x14ac:dyDescent="0.2">
      <c r="A248" s="14"/>
      <c r="B248" s="44" t="s">
        <v>2511</v>
      </c>
      <c r="C248" s="44">
        <f>SUM(C244:C247)</f>
        <v>0</v>
      </c>
      <c r="D248" s="44" t="str">
        <f>D246</f>
        <v>kg C</v>
      </c>
      <c r="E248" s="44" t="s">
        <v>2570</v>
      </c>
      <c r="F248" s="44"/>
      <c r="G248" s="44"/>
      <c r="H248" s="44" t="s">
        <v>2516</v>
      </c>
      <c r="I248" s="62">
        <f>SUM(I244:I247)</f>
        <v>706.05235999999991</v>
      </c>
      <c r="J248" s="44" t="str">
        <f>J246</f>
        <v>kg C</v>
      </c>
      <c r="K248" s="44" t="s">
        <v>2571</v>
      </c>
      <c r="L248" s="44"/>
      <c r="M248" s="44"/>
      <c r="N248" s="14"/>
    </row>
    <row r="249" spans="1:14" x14ac:dyDescent="0.2">
      <c r="A249" s="14"/>
      <c r="B249" s="125" t="s">
        <v>2704</v>
      </c>
      <c r="C249" s="125" t="str">
        <f>IF(C248+I248=C213,"true")</f>
        <v>true</v>
      </c>
      <c r="D249" s="125"/>
      <c r="E249" s="125"/>
      <c r="F249" s="125"/>
      <c r="G249" s="125"/>
      <c r="H249" s="125"/>
      <c r="I249" s="125"/>
      <c r="J249" s="125"/>
      <c r="K249" s="125"/>
      <c r="L249" s="125"/>
      <c r="M249" s="125"/>
      <c r="N249" s="14"/>
    </row>
    <row r="250" spans="1:14" x14ac:dyDescent="0.2">
      <c r="A250" s="14"/>
      <c r="B250" s="14"/>
      <c r="C250" s="14"/>
      <c r="D250" s="14"/>
      <c r="E250" s="14"/>
      <c r="F250" s="14"/>
      <c r="G250" s="14"/>
      <c r="H250" s="14"/>
      <c r="I250" s="14"/>
      <c r="J250" s="14"/>
      <c r="K250" s="14"/>
      <c r="L250" s="14"/>
      <c r="M250" s="14"/>
      <c r="N250" s="14"/>
    </row>
    <row r="251" spans="1:14" x14ac:dyDescent="0.2">
      <c r="A251" s="14"/>
      <c r="B251" s="14"/>
      <c r="C251" s="14"/>
      <c r="D251" s="14"/>
      <c r="E251" s="14"/>
      <c r="F251" s="14"/>
      <c r="G251" s="14"/>
      <c r="H251" s="14"/>
      <c r="I251" s="14"/>
      <c r="J251" s="14"/>
      <c r="K251" s="14"/>
      <c r="L251" s="14"/>
      <c r="M251" s="14"/>
      <c r="N251" s="14"/>
    </row>
    <row r="252" spans="1:14" x14ac:dyDescent="0.2">
      <c r="A252" s="14"/>
      <c r="B252" s="14"/>
      <c r="C252" s="14"/>
      <c r="D252" s="14"/>
      <c r="E252" s="14"/>
      <c r="F252" s="14"/>
      <c r="G252" s="14"/>
      <c r="H252" s="14"/>
      <c r="I252" s="14"/>
      <c r="J252" s="14"/>
      <c r="K252" s="14"/>
      <c r="L252" s="14"/>
      <c r="M252" s="14"/>
      <c r="N252" s="14"/>
    </row>
    <row r="253" spans="1:14" ht="25" customHeight="1" x14ac:dyDescent="0.2">
      <c r="A253" s="14"/>
      <c r="B253" s="214" t="s">
        <v>143</v>
      </c>
      <c r="C253" s="214"/>
      <c r="D253" s="214"/>
      <c r="E253" s="214"/>
      <c r="F253" s="214"/>
      <c r="G253" s="214"/>
      <c r="H253" s="214"/>
      <c r="I253" s="214"/>
      <c r="J253" s="214"/>
      <c r="K253" s="214"/>
      <c r="L253" s="214"/>
      <c r="M253" s="214"/>
      <c r="N253" s="14"/>
    </row>
    <row r="254" spans="1:14" ht="25" customHeight="1" x14ac:dyDescent="0.2">
      <c r="A254" s="15"/>
      <c r="B254" s="214" t="s">
        <v>146</v>
      </c>
      <c r="C254" s="214"/>
      <c r="D254" s="214"/>
      <c r="E254" s="214"/>
      <c r="F254" s="214"/>
      <c r="G254" s="214"/>
      <c r="H254" s="214"/>
      <c r="I254" s="214"/>
      <c r="J254" s="214"/>
      <c r="K254" s="214"/>
      <c r="L254" s="214"/>
      <c r="M254" s="214"/>
      <c r="N254" s="15"/>
    </row>
    <row r="255" spans="1:14" ht="25" customHeight="1" x14ac:dyDescent="0.2">
      <c r="A255" s="14"/>
      <c r="B255" s="214" t="s">
        <v>147</v>
      </c>
      <c r="C255" s="214"/>
      <c r="D255" s="214"/>
      <c r="E255" s="214"/>
      <c r="F255" s="214"/>
      <c r="G255" s="214"/>
      <c r="H255" s="214" t="s">
        <v>148</v>
      </c>
      <c r="I255" s="214"/>
      <c r="J255" s="214"/>
      <c r="K255" s="214"/>
      <c r="L255" s="214"/>
      <c r="M255" s="214"/>
      <c r="N255" s="14"/>
    </row>
    <row r="256" spans="1:14" x14ac:dyDescent="0.2">
      <c r="A256" s="14"/>
      <c r="B256" s="2" t="s">
        <v>21</v>
      </c>
      <c r="C256" s="2" t="s">
        <v>20</v>
      </c>
      <c r="D256" s="2" t="s">
        <v>99</v>
      </c>
      <c r="E256" s="2" t="s">
        <v>3</v>
      </c>
      <c r="F256" s="2" t="s">
        <v>4</v>
      </c>
      <c r="G256" s="2" t="s">
        <v>43</v>
      </c>
      <c r="H256" s="2" t="str">
        <f>B256</f>
        <v>Fraction</v>
      </c>
      <c r="I256" s="2" t="str">
        <f t="shared" ref="I256:M256" si="45">C256</f>
        <v>Sub-fraction</v>
      </c>
      <c r="J256" s="2" t="str">
        <f t="shared" si="45"/>
        <v>Name</v>
      </c>
      <c r="K256" s="2" t="str">
        <f t="shared" si="45"/>
        <v>Value</v>
      </c>
      <c r="L256" s="2" t="str">
        <f t="shared" si="45"/>
        <v>Unit</v>
      </c>
      <c r="M256" s="2" t="str">
        <f t="shared" si="45"/>
        <v>Equation</v>
      </c>
      <c r="N256" s="14"/>
    </row>
    <row r="257" spans="1:14" x14ac:dyDescent="0.2">
      <c r="A257" s="14"/>
      <c r="B257" s="221" t="s">
        <v>14</v>
      </c>
      <c r="C257" s="6" t="str">
        <f t="shared" ref="C257:C276" si="46">C222</f>
        <v>PET</v>
      </c>
      <c r="D257" t="s">
        <v>2428</v>
      </c>
      <c r="E257" s="33">
        <f>E142</f>
        <v>142.28351999999998</v>
      </c>
      <c r="F257" t="s">
        <v>96</v>
      </c>
      <c r="G257" t="str">
        <f>$B$179&amp;" * "&amp;D142</f>
        <v>bottle_carbon * bottle_PET_AIR_CCS_mass_incineration</v>
      </c>
      <c r="H257" s="221" t="str">
        <f>B257</f>
        <v>Bottle</v>
      </c>
      <c r="I257" s="6" t="str">
        <f>C257</f>
        <v>PET</v>
      </c>
      <c r="J257" t="s">
        <v>2448</v>
      </c>
      <c r="K257" s="33">
        <f t="shared" ref="K257:K276" si="47">K222-E257</f>
        <v>15.809280000000001</v>
      </c>
      <c r="L257" t="s">
        <v>96</v>
      </c>
      <c r="M257" t="str">
        <f>J222&amp;" - "&amp;D257</f>
        <v>bottle_PET_INC_AIR_carbon_incineration - bottle_PET_AIR_CCS_carbon_incineration</v>
      </c>
      <c r="N257" s="14" t="s">
        <v>1005</v>
      </c>
    </row>
    <row r="258" spans="1:14" x14ac:dyDescent="0.2">
      <c r="A258" s="14"/>
      <c r="B258" s="221"/>
      <c r="C258" s="6" t="str">
        <f t="shared" si="46"/>
        <v>PE</v>
      </c>
      <c r="D258" t="s">
        <v>2429</v>
      </c>
      <c r="E258" s="33">
        <f t="shared" ref="E258:E264" si="48">E143</f>
        <v>43.30368</v>
      </c>
      <c r="F258" t="str">
        <f>F257</f>
        <v>kg C</v>
      </c>
      <c r="G258" t="str">
        <f t="shared" ref="G258:G261" si="49">$B$179&amp;" * "&amp;D143</f>
        <v>bottle_carbon * bottle_PE_AIR_CCS_mass_incineration</v>
      </c>
      <c r="H258" s="221"/>
      <c r="I258" s="6" t="str">
        <f t="shared" ref="I258:I276" si="50">C258</f>
        <v>PE</v>
      </c>
      <c r="J258" t="s">
        <v>2449</v>
      </c>
      <c r="K258" s="33">
        <f t="shared" si="47"/>
        <v>4.8115200000000016</v>
      </c>
      <c r="L258" t="str">
        <f>L257</f>
        <v>kg C</v>
      </c>
      <c r="M258" t="str">
        <f t="shared" ref="M258:M276" si="51">J223&amp;" - "&amp;D258</f>
        <v>bottle_PE_INC_AIR_carbon_incineration - bottle_PE_AIR_CCS_carbon_incineration</v>
      </c>
      <c r="N258" s="14" t="s">
        <v>1005</v>
      </c>
    </row>
    <row r="259" spans="1:14" x14ac:dyDescent="0.2">
      <c r="A259" s="14"/>
      <c r="B259" s="221"/>
      <c r="C259" s="6" t="str">
        <f t="shared" si="46"/>
        <v>PP</v>
      </c>
      <c r="D259" t="s">
        <v>2430</v>
      </c>
      <c r="E259" s="33">
        <f t="shared" si="48"/>
        <v>0</v>
      </c>
      <c r="F259" t="str">
        <f t="shared" ref="F259:F276" si="52">F258</f>
        <v>kg C</v>
      </c>
      <c r="G259" t="str">
        <f t="shared" si="49"/>
        <v>bottle_carbon * bottle_PP_AIR_CCS_mass_incineration</v>
      </c>
      <c r="H259" s="221"/>
      <c r="I259" s="6" t="str">
        <f t="shared" si="50"/>
        <v>PP</v>
      </c>
      <c r="J259" t="s">
        <v>2450</v>
      </c>
      <c r="K259" s="33">
        <f t="shared" si="47"/>
        <v>0</v>
      </c>
      <c r="L259" t="str">
        <f t="shared" ref="L259:L276" si="53">L258</f>
        <v>kg C</v>
      </c>
      <c r="M259" t="str">
        <f t="shared" si="51"/>
        <v>bottle_PP_INC_AIR_carbon_incineration - bottle_PP_AIR_CCS_carbon_incineration</v>
      </c>
      <c r="N259" s="14" t="s">
        <v>1005</v>
      </c>
    </row>
    <row r="260" spans="1:14" x14ac:dyDescent="0.2">
      <c r="A260" s="14"/>
      <c r="B260" s="221"/>
      <c r="C260" s="6" t="str">
        <f t="shared" si="46"/>
        <v>PS</v>
      </c>
      <c r="D260" t="s">
        <v>2431</v>
      </c>
      <c r="E260" s="33">
        <f t="shared" si="48"/>
        <v>0</v>
      </c>
      <c r="F260" t="str">
        <f t="shared" si="52"/>
        <v>kg C</v>
      </c>
      <c r="G260" t="str">
        <f t="shared" si="49"/>
        <v>bottle_carbon * bottle_PS_AIR_CCS_mass_incineration</v>
      </c>
      <c r="H260" s="221"/>
      <c r="I260" s="6" t="str">
        <f t="shared" si="50"/>
        <v>PS</v>
      </c>
      <c r="J260" t="s">
        <v>2451</v>
      </c>
      <c r="K260" s="33">
        <f t="shared" si="47"/>
        <v>0</v>
      </c>
      <c r="L260" t="str">
        <f t="shared" si="53"/>
        <v>kg C</v>
      </c>
      <c r="M260" t="str">
        <f t="shared" si="51"/>
        <v>bottle_PS_INC_AIR_carbon_incineration - bottle_PS_AIR_CCS_carbon_incineration</v>
      </c>
      <c r="N260" s="14" t="s">
        <v>1005</v>
      </c>
    </row>
    <row r="261" spans="1:14" x14ac:dyDescent="0.2">
      <c r="A261" s="14"/>
      <c r="B261" s="221"/>
      <c r="C261" s="6" t="str">
        <f t="shared" si="46"/>
        <v>Other</v>
      </c>
      <c r="D261" t="s">
        <v>2432</v>
      </c>
      <c r="E261" s="33">
        <f t="shared" si="48"/>
        <v>0</v>
      </c>
      <c r="F261" t="str">
        <f t="shared" si="52"/>
        <v>kg C</v>
      </c>
      <c r="G261" t="str">
        <f t="shared" si="49"/>
        <v>bottle_carbon * bottle_Oth_AIR_CCS_mass_incineration</v>
      </c>
      <c r="H261" s="221"/>
      <c r="I261" s="6" t="str">
        <f t="shared" si="50"/>
        <v>Other</v>
      </c>
      <c r="J261" t="s">
        <v>2452</v>
      </c>
      <c r="K261" s="33">
        <f t="shared" si="47"/>
        <v>0</v>
      </c>
      <c r="L261" t="str">
        <f t="shared" si="53"/>
        <v>kg C</v>
      </c>
      <c r="M261" t="str">
        <f t="shared" si="51"/>
        <v>bottle_Oth_INC_AIR_carbon_incineration - bottle_Oth_AIR_CCS_carbon_incineration</v>
      </c>
      <c r="N261" s="14" t="s">
        <v>1005</v>
      </c>
    </row>
    <row r="262" spans="1:14" x14ac:dyDescent="0.2">
      <c r="A262" s="14"/>
      <c r="B262" s="221" t="s">
        <v>15</v>
      </c>
      <c r="C262" s="6" t="str">
        <f t="shared" si="46"/>
        <v>PET</v>
      </c>
      <c r="D262" t="s">
        <v>2433</v>
      </c>
      <c r="E262" s="33">
        <f t="shared" si="48"/>
        <v>27.704160000000002</v>
      </c>
      <c r="F262" t="str">
        <f t="shared" si="52"/>
        <v>kg C</v>
      </c>
      <c r="G262" t="str">
        <f>$B$180&amp;" * "&amp;D147</f>
        <v>rigid_carbon * rigid_PET_AIR_CCS_mass_incineration</v>
      </c>
      <c r="H262" s="221" t="s">
        <v>15</v>
      </c>
      <c r="I262" s="6" t="str">
        <f t="shared" si="50"/>
        <v>PET</v>
      </c>
      <c r="J262" t="s">
        <v>2453</v>
      </c>
      <c r="K262" s="33">
        <f t="shared" si="47"/>
        <v>3.078240000000001</v>
      </c>
      <c r="L262" t="str">
        <f t="shared" si="53"/>
        <v>kg C</v>
      </c>
      <c r="M262" t="str">
        <f t="shared" si="51"/>
        <v>rigid_PET_INC_AIR_carbon_incineration - rigid_PET_AIR_CCS_carbon_incineration</v>
      </c>
      <c r="N262" s="14" t="s">
        <v>1005</v>
      </c>
    </row>
    <row r="263" spans="1:14" x14ac:dyDescent="0.2">
      <c r="A263" s="14"/>
      <c r="B263" s="221"/>
      <c r="C263" s="6" t="str">
        <f t="shared" si="46"/>
        <v>PE</v>
      </c>
      <c r="D263" t="s">
        <v>2434</v>
      </c>
      <c r="E263" s="33">
        <f t="shared" si="48"/>
        <v>20.778120000000001</v>
      </c>
      <c r="F263" t="str">
        <f>F262</f>
        <v>kg C</v>
      </c>
      <c r="G263" t="str">
        <f t="shared" ref="G263:G266" si="54">$B$180&amp;" * "&amp;D148</f>
        <v>rigid_carbon * rigid_PE_AIR_CCS_mass_incineration</v>
      </c>
      <c r="H263" s="221"/>
      <c r="I263" s="6" t="str">
        <f t="shared" si="50"/>
        <v>PE</v>
      </c>
      <c r="J263" t="s">
        <v>2454</v>
      </c>
      <c r="K263" s="33">
        <f t="shared" si="47"/>
        <v>2.308679999999999</v>
      </c>
      <c r="L263" t="str">
        <f>L262</f>
        <v>kg C</v>
      </c>
      <c r="M263" t="str">
        <f t="shared" si="51"/>
        <v>rigid_PE_INC_AIR_carbon_incineration - rigid_PE_AIR_CCS_carbon_incineration</v>
      </c>
      <c r="N263" s="14" t="s">
        <v>1005</v>
      </c>
    </row>
    <row r="264" spans="1:14" x14ac:dyDescent="0.2">
      <c r="A264" s="14"/>
      <c r="B264" s="221"/>
      <c r="C264" s="6" t="str">
        <f t="shared" si="46"/>
        <v>PP</v>
      </c>
      <c r="D264" t="s">
        <v>2435</v>
      </c>
      <c r="E264" s="33">
        <f t="shared" si="48"/>
        <v>48.482280000000003</v>
      </c>
      <c r="F264" t="str">
        <f t="shared" si="52"/>
        <v>kg C</v>
      </c>
      <c r="G264" t="str">
        <f t="shared" si="54"/>
        <v>rigid_carbon * rigid_PP_AIR_CCS_mass_incineration</v>
      </c>
      <c r="H264" s="221"/>
      <c r="I264" s="6" t="str">
        <f t="shared" si="50"/>
        <v>PP</v>
      </c>
      <c r="J264" t="s">
        <v>2455</v>
      </c>
      <c r="K264" s="33">
        <f t="shared" si="47"/>
        <v>5.3869199999999964</v>
      </c>
      <c r="L264" t="str">
        <f t="shared" si="53"/>
        <v>kg C</v>
      </c>
      <c r="M264" t="str">
        <f t="shared" si="51"/>
        <v>rigid_PP_INC_AIR_carbon_incineration - rigid_PP_AIR_CCS_carbon_incineration</v>
      </c>
      <c r="N264" s="14" t="s">
        <v>1005</v>
      </c>
    </row>
    <row r="265" spans="1:14" x14ac:dyDescent="0.2">
      <c r="A265" s="15"/>
      <c r="B265" s="221"/>
      <c r="C265" s="6" t="str">
        <f t="shared" si="46"/>
        <v>PS</v>
      </c>
      <c r="D265" t="s">
        <v>2436</v>
      </c>
      <c r="E265" s="33">
        <f>E150</f>
        <v>6.9260400000000004</v>
      </c>
      <c r="F265" t="str">
        <f t="shared" si="52"/>
        <v>kg C</v>
      </c>
      <c r="G265" t="str">
        <f t="shared" si="54"/>
        <v>rigid_carbon * rigid_PS_AIR_CCS_mass_incineration</v>
      </c>
      <c r="H265" s="221"/>
      <c r="I265" s="6" t="str">
        <f t="shared" si="50"/>
        <v>PS</v>
      </c>
      <c r="J265" t="s">
        <v>2456</v>
      </c>
      <c r="K265" s="33">
        <f t="shared" si="47"/>
        <v>0.76956000000000024</v>
      </c>
      <c r="L265" t="str">
        <f t="shared" si="53"/>
        <v>kg C</v>
      </c>
      <c r="M265" t="str">
        <f t="shared" si="51"/>
        <v>rigid_PS_INC_AIR_carbon_incineration - rigid_PS_AIR_CCS_carbon_incineration</v>
      </c>
      <c r="N265" s="14" t="s">
        <v>1005</v>
      </c>
    </row>
    <row r="266" spans="1:14" x14ac:dyDescent="0.2">
      <c r="A266" s="14"/>
      <c r="B266" s="221"/>
      <c r="C266" s="6" t="str">
        <f t="shared" si="46"/>
        <v>Other</v>
      </c>
      <c r="D266" t="s">
        <v>2437</v>
      </c>
      <c r="E266" s="33">
        <f>E151</f>
        <v>34.630199999999988</v>
      </c>
      <c r="F266" t="str">
        <f t="shared" si="52"/>
        <v>kg C</v>
      </c>
      <c r="G266" t="str">
        <f t="shared" si="54"/>
        <v>rigid_carbon * rigid_Oth_AIR_CCS_mass_incineration</v>
      </c>
      <c r="H266" s="221"/>
      <c r="I266" s="6" t="str">
        <f t="shared" si="50"/>
        <v>Other</v>
      </c>
      <c r="J266" t="s">
        <v>2457</v>
      </c>
      <c r="K266" s="33">
        <f t="shared" si="47"/>
        <v>3.8477999999999994</v>
      </c>
      <c r="L266" t="str">
        <f t="shared" si="53"/>
        <v>kg C</v>
      </c>
      <c r="M266" t="str">
        <f t="shared" si="51"/>
        <v>rigid_Oth_INC_AIR_carbon_incineration - rigid_Oth_AIR_CCS_carbon_incineration</v>
      </c>
      <c r="N266" s="14" t="s">
        <v>1005</v>
      </c>
    </row>
    <row r="267" spans="1:14" x14ac:dyDescent="0.2">
      <c r="A267" s="14"/>
      <c r="B267" s="221" t="s">
        <v>42</v>
      </c>
      <c r="C267" s="6" t="str">
        <f t="shared" si="46"/>
        <v>PET</v>
      </c>
      <c r="D267" t="s">
        <v>2438</v>
      </c>
      <c r="E267" s="33">
        <f t="shared" ref="E267:E271" si="55">E152</f>
        <v>0</v>
      </c>
      <c r="F267" t="str">
        <f t="shared" si="52"/>
        <v>kg C</v>
      </c>
      <c r="G267" t="str">
        <f>$B$181&amp;" * "&amp;D152</f>
        <v>soft_carbon * soft_PET_AIR_CCS_mass_incineration</v>
      </c>
      <c r="H267" s="221" t="s">
        <v>42</v>
      </c>
      <c r="I267" s="6" t="str">
        <f t="shared" si="50"/>
        <v>PET</v>
      </c>
      <c r="J267" t="s">
        <v>2458</v>
      </c>
      <c r="K267" s="33">
        <f t="shared" si="47"/>
        <v>0</v>
      </c>
      <c r="L267" t="str">
        <f t="shared" si="53"/>
        <v>kg C</v>
      </c>
      <c r="M267" t="str">
        <f t="shared" si="51"/>
        <v>soft_PET_INC_AIR_carbon_incineration - soft_PET_AIR_CCS_carbon_incineration</v>
      </c>
      <c r="N267" s="14" t="s">
        <v>1005</v>
      </c>
    </row>
    <row r="268" spans="1:14" x14ac:dyDescent="0.2">
      <c r="A268" s="14"/>
      <c r="B268" s="221"/>
      <c r="C268" s="6" t="str">
        <f t="shared" si="46"/>
        <v>PE</v>
      </c>
      <c r="D268" t="s">
        <v>2439</v>
      </c>
      <c r="E268" s="33">
        <f t="shared" si="55"/>
        <v>189.23284800000002</v>
      </c>
      <c r="F268" t="str">
        <f t="shared" si="52"/>
        <v>kg C</v>
      </c>
      <c r="G268" t="str">
        <f t="shared" ref="G268:G271" si="56">$B$181&amp;" * "&amp;D153</f>
        <v>soft_carbon * soft_PE_AIR_CCS_mass_incineration</v>
      </c>
      <c r="H268" s="221"/>
      <c r="I268" s="6" t="str">
        <f t="shared" si="50"/>
        <v>PE</v>
      </c>
      <c r="J268" t="s">
        <v>2459</v>
      </c>
      <c r="K268" s="33">
        <f t="shared" si="47"/>
        <v>21.025871999999993</v>
      </c>
      <c r="L268" t="str">
        <f t="shared" si="53"/>
        <v>kg C</v>
      </c>
      <c r="M268" t="str">
        <f t="shared" si="51"/>
        <v>soft_PE_INC_AIR_carbon_incineration - soft_PE_AIR_CCS_carbon_incineration</v>
      </c>
      <c r="N268" s="14" t="s">
        <v>1005</v>
      </c>
    </row>
    <row r="269" spans="1:14" x14ac:dyDescent="0.2">
      <c r="A269" s="14"/>
      <c r="B269" s="221"/>
      <c r="C269" s="6" t="str">
        <f t="shared" si="46"/>
        <v>PP</v>
      </c>
      <c r="D269" t="s">
        <v>2440</v>
      </c>
      <c r="E269" s="33">
        <f t="shared" si="55"/>
        <v>0</v>
      </c>
      <c r="F269" t="str">
        <f t="shared" si="52"/>
        <v>kg C</v>
      </c>
      <c r="G269" t="str">
        <f t="shared" si="56"/>
        <v>soft_carbon * soft_PP_AIR_CCS_mass_incineration</v>
      </c>
      <c r="H269" s="221"/>
      <c r="I269" s="6" t="str">
        <f t="shared" si="50"/>
        <v>PP</v>
      </c>
      <c r="J269" t="s">
        <v>2460</v>
      </c>
      <c r="K269" s="33">
        <f t="shared" si="47"/>
        <v>0</v>
      </c>
      <c r="L269" t="str">
        <f t="shared" si="53"/>
        <v>kg C</v>
      </c>
      <c r="M269" t="str">
        <f t="shared" si="51"/>
        <v>soft_PP_INC_AIR_carbon_incineration - soft_PP_AIR_CCS_carbon_incineration</v>
      </c>
      <c r="N269" s="14" t="s">
        <v>1005</v>
      </c>
    </row>
    <row r="270" spans="1:14" x14ac:dyDescent="0.2">
      <c r="A270" s="14"/>
      <c r="B270" s="221"/>
      <c r="C270" s="6" t="str">
        <f t="shared" si="46"/>
        <v>PS</v>
      </c>
      <c r="D270" t="s">
        <v>2441</v>
      </c>
      <c r="E270" s="33">
        <f t="shared" si="55"/>
        <v>0</v>
      </c>
      <c r="F270" t="str">
        <f t="shared" si="52"/>
        <v>kg C</v>
      </c>
      <c r="G270" t="str">
        <f t="shared" si="56"/>
        <v>soft_carbon * soft_PS_AIR_CCS_mass_incineration</v>
      </c>
      <c r="H270" s="221"/>
      <c r="I270" s="6" t="str">
        <f t="shared" si="50"/>
        <v>PS</v>
      </c>
      <c r="J270" t="s">
        <v>2461</v>
      </c>
      <c r="K270" s="33">
        <f t="shared" si="47"/>
        <v>0</v>
      </c>
      <c r="L270" t="str">
        <f t="shared" si="53"/>
        <v>kg C</v>
      </c>
      <c r="M270" t="str">
        <f t="shared" si="51"/>
        <v>soft_PS_INC_AIR_carbon_incineration - soft_PS_AIR_CCS_carbon_incineration</v>
      </c>
      <c r="N270" s="14" t="s">
        <v>1005</v>
      </c>
    </row>
    <row r="271" spans="1:14" x14ac:dyDescent="0.2">
      <c r="A271" s="14"/>
      <c r="B271" s="221"/>
      <c r="C271" s="6" t="str">
        <f t="shared" si="46"/>
        <v>Other</v>
      </c>
      <c r="D271" t="s">
        <v>2442</v>
      </c>
      <c r="E271" s="33">
        <f t="shared" si="55"/>
        <v>63.07761600000002</v>
      </c>
      <c r="F271" t="str">
        <f t="shared" si="52"/>
        <v>kg C</v>
      </c>
      <c r="G271" t="str">
        <f t="shared" si="56"/>
        <v>soft_carbon * soft_Oth_AIR_CCS_mass_incineration</v>
      </c>
      <c r="H271" s="221"/>
      <c r="I271" s="6" t="str">
        <f t="shared" si="50"/>
        <v>Other</v>
      </c>
      <c r="J271" t="s">
        <v>2462</v>
      </c>
      <c r="K271" s="33">
        <f t="shared" si="47"/>
        <v>7.0086239999999975</v>
      </c>
      <c r="L271" t="str">
        <f t="shared" si="53"/>
        <v>kg C</v>
      </c>
      <c r="M271" t="str">
        <f t="shared" si="51"/>
        <v>soft_Oth_INC_AIR_carbon_incineration - soft_Oth_AIR_CCS_carbon_incineration</v>
      </c>
      <c r="N271" s="14" t="s">
        <v>1005</v>
      </c>
    </row>
    <row r="272" spans="1:14" x14ac:dyDescent="0.2">
      <c r="A272" s="14"/>
      <c r="B272" s="221" t="s">
        <v>19</v>
      </c>
      <c r="C272" s="6" t="str">
        <f t="shared" si="46"/>
        <v>PET</v>
      </c>
      <c r="D272" t="s">
        <v>2443</v>
      </c>
      <c r="E272" s="33">
        <f>E157</f>
        <v>0</v>
      </c>
      <c r="F272" t="str">
        <f t="shared" si="52"/>
        <v>kg C</v>
      </c>
      <c r="G272" t="str">
        <f>$B$182&amp;" * "&amp;D157</f>
        <v>nonrec_carbon * other_PET_AIR_CCS_mass_incineration</v>
      </c>
      <c r="H272" s="221" t="s">
        <v>19</v>
      </c>
      <c r="I272" s="6" t="str">
        <f t="shared" si="50"/>
        <v>PET</v>
      </c>
      <c r="J272" t="s">
        <v>2463</v>
      </c>
      <c r="K272" s="33">
        <f t="shared" si="47"/>
        <v>0</v>
      </c>
      <c r="L272" t="str">
        <f t="shared" si="53"/>
        <v>kg C</v>
      </c>
      <c r="M272" t="str">
        <f t="shared" si="51"/>
        <v>other_PET_INC_AIR_carbon_incineration - other_PET_AIR_CCS_carbon_incineration</v>
      </c>
      <c r="N272" s="14" t="s">
        <v>1005</v>
      </c>
    </row>
    <row r="273" spans="1:14" x14ac:dyDescent="0.2">
      <c r="A273" s="14"/>
      <c r="B273" s="221"/>
      <c r="C273" s="6" t="str">
        <f t="shared" si="46"/>
        <v>PE</v>
      </c>
      <c r="D273" t="s">
        <v>2444</v>
      </c>
      <c r="E273" s="33">
        <f t="shared" ref="E273:E276" si="57">E158</f>
        <v>0</v>
      </c>
      <c r="F273" t="str">
        <f t="shared" si="52"/>
        <v>kg C</v>
      </c>
      <c r="G273" t="str">
        <f t="shared" ref="G273:G276" si="58">$B$182&amp;" * "&amp;D158</f>
        <v>nonrec_carbon * other_PE_AIR_CCS_mass_incineration</v>
      </c>
      <c r="H273" s="221"/>
      <c r="I273" s="6" t="str">
        <f t="shared" si="50"/>
        <v>PE</v>
      </c>
      <c r="J273" t="s">
        <v>2464</v>
      </c>
      <c r="K273" s="33">
        <f t="shared" si="47"/>
        <v>0</v>
      </c>
      <c r="L273" t="str">
        <f t="shared" si="53"/>
        <v>kg C</v>
      </c>
      <c r="M273" t="str">
        <f t="shared" si="51"/>
        <v>other_PE_INC_AIR_carbon_incineration - other_PE_AIR_CCS_carbon_incineration</v>
      </c>
      <c r="N273" s="14" t="s">
        <v>1005</v>
      </c>
    </row>
    <row r="274" spans="1:14" x14ac:dyDescent="0.2">
      <c r="A274" s="14"/>
      <c r="B274" s="221"/>
      <c r="C274" s="6" t="str">
        <f t="shared" si="46"/>
        <v>PP</v>
      </c>
      <c r="D274" t="s">
        <v>2445</v>
      </c>
      <c r="E274" s="33">
        <f t="shared" si="57"/>
        <v>0</v>
      </c>
      <c r="F274" t="str">
        <f t="shared" si="52"/>
        <v>kg C</v>
      </c>
      <c r="G274" t="str">
        <f t="shared" si="58"/>
        <v>nonrec_carbon * other_PP_AIR_CCS_mass_incineration</v>
      </c>
      <c r="H274" s="221"/>
      <c r="I274" s="6" t="str">
        <f t="shared" si="50"/>
        <v>PP</v>
      </c>
      <c r="J274" t="s">
        <v>2465</v>
      </c>
      <c r="K274" s="33">
        <f t="shared" si="47"/>
        <v>0</v>
      </c>
      <c r="L274" t="str">
        <f t="shared" si="53"/>
        <v>kg C</v>
      </c>
      <c r="M274" t="str">
        <f t="shared" si="51"/>
        <v>other_PP_INC_AIR_carbon_incineration - other_PP_AIR_CCS_carbon_incineration</v>
      </c>
      <c r="N274" s="14" t="s">
        <v>1005</v>
      </c>
    </row>
    <row r="275" spans="1:14" x14ac:dyDescent="0.2">
      <c r="A275" s="15"/>
      <c r="B275" s="221"/>
      <c r="C275" s="6" t="str">
        <f t="shared" si="46"/>
        <v>PS</v>
      </c>
      <c r="D275" t="s">
        <v>2446</v>
      </c>
      <c r="E275" s="33">
        <f t="shared" si="57"/>
        <v>0</v>
      </c>
      <c r="F275" t="str">
        <f t="shared" si="52"/>
        <v>kg C</v>
      </c>
      <c r="G275" t="str">
        <f t="shared" si="58"/>
        <v>nonrec_carbon * other_PS_AIR_CCS_mass_incineration</v>
      </c>
      <c r="H275" s="221"/>
      <c r="I275" s="6" t="str">
        <f t="shared" si="50"/>
        <v>PS</v>
      </c>
      <c r="J275" t="s">
        <v>2466</v>
      </c>
      <c r="K275" s="33">
        <f t="shared" si="47"/>
        <v>0</v>
      </c>
      <c r="L275" t="str">
        <f t="shared" si="53"/>
        <v>kg C</v>
      </c>
      <c r="M275" t="str">
        <f t="shared" si="51"/>
        <v>other_PS_INC_AIR_carbon_incineration - other_PS_AIR_CCS_carbon_incineration</v>
      </c>
      <c r="N275" s="14" t="s">
        <v>1005</v>
      </c>
    </row>
    <row r="276" spans="1:14" x14ac:dyDescent="0.2">
      <c r="A276" s="14"/>
      <c r="B276" s="221"/>
      <c r="C276" s="6" t="str">
        <f t="shared" si="46"/>
        <v>Other</v>
      </c>
      <c r="D276" t="s">
        <v>2447</v>
      </c>
      <c r="E276" s="62">
        <f t="shared" si="57"/>
        <v>59.028659999999952</v>
      </c>
      <c r="F276" t="str">
        <f t="shared" si="52"/>
        <v>kg C</v>
      </c>
      <c r="G276" t="str">
        <f t="shared" si="58"/>
        <v>nonrec_carbon * other_Oth_AIR_CCS_mass_incineration</v>
      </c>
      <c r="H276" s="221"/>
      <c r="I276" s="6" t="str">
        <f t="shared" si="50"/>
        <v>Other</v>
      </c>
      <c r="J276" t="s">
        <v>2467</v>
      </c>
      <c r="K276" s="33">
        <f t="shared" si="47"/>
        <v>6.5587399999999931</v>
      </c>
      <c r="L276" t="str">
        <f t="shared" si="53"/>
        <v>kg C</v>
      </c>
      <c r="M276" t="str">
        <f t="shared" si="51"/>
        <v>other_Oth_INC_AIR_carbon_incineration - other_Oth_AIR_CCS_carbon_incineration</v>
      </c>
      <c r="N276" s="14" t="s">
        <v>1005</v>
      </c>
    </row>
    <row r="277" spans="1:14" ht="25" customHeight="1" x14ac:dyDescent="0.2">
      <c r="A277" s="14"/>
      <c r="B277" s="214" t="s">
        <v>167</v>
      </c>
      <c r="C277" s="214"/>
      <c r="D277" s="214"/>
      <c r="E277" s="214"/>
      <c r="F277" s="214"/>
      <c r="G277" s="214"/>
      <c r="H277" s="214"/>
      <c r="I277" s="214"/>
      <c r="J277" s="214"/>
      <c r="K277" s="214"/>
      <c r="L277" s="214"/>
      <c r="M277" s="214"/>
      <c r="N277" s="14"/>
    </row>
    <row r="278" spans="1:14" x14ac:dyDescent="0.2">
      <c r="A278" s="14"/>
      <c r="B278" s="2" t="str">
        <f>B126</f>
        <v>Patameter</v>
      </c>
      <c r="C278" s="2" t="str">
        <f>C126</f>
        <v>Value</v>
      </c>
      <c r="D278" s="2" t="str">
        <f>D126</f>
        <v>Unit</v>
      </c>
      <c r="E278" s="2" t="str">
        <f>E126</f>
        <v>Description</v>
      </c>
      <c r="F278" s="2"/>
      <c r="G278" s="2"/>
      <c r="H278" s="2" t="str">
        <f>B278</f>
        <v>Patameter</v>
      </c>
      <c r="I278" s="2" t="str">
        <f>C278</f>
        <v>Value</v>
      </c>
      <c r="J278" s="2" t="str">
        <f>D278</f>
        <v>Unit</v>
      </c>
      <c r="K278" s="2" t="str">
        <f>E278</f>
        <v>Description</v>
      </c>
      <c r="L278" s="2"/>
      <c r="M278" s="2"/>
      <c r="N278" s="14"/>
    </row>
    <row r="279" spans="1:14" x14ac:dyDescent="0.2">
      <c r="A279" s="14"/>
      <c r="B279" t="s">
        <v>2517</v>
      </c>
      <c r="C279" s="33">
        <f>SUM(E257:E261)</f>
        <v>185.5872</v>
      </c>
      <c r="D279" t="s">
        <v>96</v>
      </c>
      <c r="E279" t="s">
        <v>1106</v>
      </c>
      <c r="H279" t="s">
        <v>2522</v>
      </c>
      <c r="I279" s="33">
        <f>SUM(K257:K261)</f>
        <v>20.620800000000003</v>
      </c>
      <c r="J279" t="s">
        <v>96</v>
      </c>
      <c r="K279" t="s">
        <v>1101</v>
      </c>
      <c r="N279" s="14"/>
    </row>
    <row r="280" spans="1:14" x14ac:dyDescent="0.2">
      <c r="A280" s="14"/>
      <c r="B280" t="s">
        <v>2518</v>
      </c>
      <c r="C280" s="33">
        <f>SUM(E262:E266)</f>
        <v>138.52080000000001</v>
      </c>
      <c r="D280" t="str">
        <f>D279</f>
        <v>kg C</v>
      </c>
      <c r="E280" t="s">
        <v>1107</v>
      </c>
      <c r="H280" t="s">
        <v>2523</v>
      </c>
      <c r="I280" s="33">
        <f>SUM(K262:K266)</f>
        <v>15.391199999999996</v>
      </c>
      <c r="J280" t="str">
        <f>J279</f>
        <v>kg C</v>
      </c>
      <c r="K280" t="s">
        <v>1102</v>
      </c>
      <c r="N280" s="14"/>
    </row>
    <row r="281" spans="1:14" x14ac:dyDescent="0.2">
      <c r="A281" s="14"/>
      <c r="B281" t="s">
        <v>2519</v>
      </c>
      <c r="C281" s="33">
        <f>SUM(E267:E271)</f>
        <v>252.31046400000002</v>
      </c>
      <c r="D281" t="str">
        <f t="shared" ref="D281" si="59">D280</f>
        <v>kg C</v>
      </c>
      <c r="E281" t="s">
        <v>1108</v>
      </c>
      <c r="H281" t="s">
        <v>2524</v>
      </c>
      <c r="I281" s="33">
        <f>SUM(K267:K271)</f>
        <v>28.03449599999999</v>
      </c>
      <c r="J281" t="str">
        <f t="shared" ref="J281" si="60">J280</f>
        <v>kg C</v>
      </c>
      <c r="K281" t="s">
        <v>1103</v>
      </c>
      <c r="N281" s="14"/>
    </row>
    <row r="282" spans="1:14" ht="16" thickBot="1" x14ac:dyDescent="0.25">
      <c r="A282" s="14"/>
      <c r="B282" s="8" t="s">
        <v>2520</v>
      </c>
      <c r="C282" s="34">
        <f>SUM(E272:E276)</f>
        <v>59.028659999999952</v>
      </c>
      <c r="D282" s="8" t="str">
        <f>D281</f>
        <v>kg C</v>
      </c>
      <c r="E282" s="8" t="s">
        <v>1109</v>
      </c>
      <c r="F282" s="8"/>
      <c r="G282" s="8"/>
      <c r="H282" s="8" t="s">
        <v>2525</v>
      </c>
      <c r="I282" s="34">
        <f>SUM(K272:K276)</f>
        <v>6.5587399999999931</v>
      </c>
      <c r="J282" s="8" t="s">
        <v>96</v>
      </c>
      <c r="K282" s="8" t="s">
        <v>1104</v>
      </c>
      <c r="L282" s="8"/>
      <c r="M282" s="8"/>
      <c r="N282" s="14"/>
    </row>
    <row r="283" spans="1:14" ht="16" thickTop="1" x14ac:dyDescent="0.2">
      <c r="A283" s="14"/>
      <c r="B283" s="44" t="s">
        <v>2521</v>
      </c>
      <c r="C283" s="62">
        <f>SUM(C279:C282)</f>
        <v>635.44712400000003</v>
      </c>
      <c r="D283" s="44" t="str">
        <f>D281</f>
        <v>kg C</v>
      </c>
      <c r="E283" s="44" t="s">
        <v>2572</v>
      </c>
      <c r="F283" s="44"/>
      <c r="G283" s="44"/>
      <c r="H283" s="44" t="s">
        <v>2526</v>
      </c>
      <c r="I283" s="62">
        <f>SUM(I279:I282)</f>
        <v>70.605235999999991</v>
      </c>
      <c r="J283" s="44" t="str">
        <f>J281</f>
        <v>kg C</v>
      </c>
      <c r="K283" s="44" t="s">
        <v>2573</v>
      </c>
      <c r="L283" s="44"/>
      <c r="M283" s="44"/>
      <c r="N283" s="14"/>
    </row>
    <row r="284" spans="1:14" x14ac:dyDescent="0.2">
      <c r="A284" s="15"/>
      <c r="B284" s="125" t="s">
        <v>2704</v>
      </c>
      <c r="C284" s="125" t="str">
        <f>IF(C283+I283=I248,"true")</f>
        <v>true</v>
      </c>
      <c r="D284" s="125"/>
      <c r="E284" s="125"/>
      <c r="F284" s="125"/>
      <c r="G284" s="125"/>
      <c r="H284" s="125"/>
      <c r="I284" s="125"/>
      <c r="J284" s="125"/>
      <c r="K284" s="125"/>
      <c r="L284" s="125"/>
      <c r="M284" s="125"/>
      <c r="N284" s="15"/>
    </row>
    <row r="285" spans="1:14" x14ac:dyDescent="0.2">
      <c r="A285" s="15"/>
      <c r="B285" s="14"/>
      <c r="C285" s="14"/>
      <c r="D285" s="14"/>
      <c r="E285" s="14"/>
      <c r="F285" s="14"/>
      <c r="G285" s="14"/>
      <c r="H285" s="14"/>
      <c r="I285" s="14"/>
      <c r="J285" s="14"/>
      <c r="K285" s="14"/>
      <c r="L285" s="14"/>
      <c r="M285" s="14"/>
      <c r="N285" s="15"/>
    </row>
    <row r="286" spans="1:14" x14ac:dyDescent="0.2">
      <c r="A286" s="15"/>
      <c r="B286" s="14"/>
      <c r="C286" s="14"/>
      <c r="D286" s="14"/>
      <c r="E286" s="14"/>
      <c r="F286" s="14"/>
      <c r="G286" s="14"/>
      <c r="H286" s="14"/>
      <c r="I286" s="14"/>
      <c r="J286" s="14"/>
      <c r="K286" s="14"/>
      <c r="L286" s="14"/>
      <c r="M286" s="14"/>
      <c r="N286" s="15"/>
    </row>
    <row r="287" spans="1:14" x14ac:dyDescent="0.2">
      <c r="A287" s="14"/>
      <c r="B287" s="14"/>
      <c r="C287" s="14"/>
      <c r="D287" s="14"/>
      <c r="E287" s="14"/>
      <c r="F287" s="14"/>
      <c r="G287" s="14"/>
      <c r="H287" s="14"/>
      <c r="I287" s="14"/>
      <c r="J287" s="14"/>
      <c r="K287" s="14"/>
      <c r="L287" s="14"/>
      <c r="M287" s="14"/>
      <c r="N287" s="14"/>
    </row>
    <row r="288" spans="1:14" x14ac:dyDescent="0.2">
      <c r="A288" s="77"/>
      <c r="B288" s="77"/>
      <c r="C288" s="77"/>
      <c r="D288" s="77"/>
      <c r="E288" s="77"/>
      <c r="F288" s="77"/>
      <c r="G288" s="77"/>
      <c r="H288" s="77"/>
      <c r="I288" s="77"/>
      <c r="J288" s="77"/>
      <c r="K288" s="77"/>
      <c r="L288" s="77"/>
      <c r="M288" s="77"/>
      <c r="N288" s="77"/>
    </row>
    <row r="289" spans="1:14" ht="26" x14ac:dyDescent="0.3">
      <c r="A289" s="51"/>
      <c r="B289" s="217" t="s">
        <v>120</v>
      </c>
      <c r="C289" s="217"/>
      <c r="D289" s="217"/>
      <c r="E289" s="217"/>
      <c r="F289" s="217"/>
      <c r="G289" s="217"/>
      <c r="H289" s="217"/>
      <c r="I289" s="217"/>
      <c r="J289" s="217"/>
      <c r="K289" s="217"/>
      <c r="L289" s="217"/>
      <c r="M289" s="217"/>
      <c r="N289" s="52"/>
    </row>
    <row r="290" spans="1:14" x14ac:dyDescent="0.2">
      <c r="A290" s="19"/>
      <c r="B290" s="19"/>
      <c r="C290" s="19"/>
      <c r="D290" s="19"/>
      <c r="E290" s="19"/>
      <c r="F290" s="19"/>
      <c r="G290" s="19"/>
      <c r="H290" s="19"/>
      <c r="I290" s="19"/>
      <c r="J290" s="19"/>
      <c r="K290" s="19"/>
      <c r="L290" s="19"/>
      <c r="M290" s="19"/>
      <c r="N290" s="19"/>
    </row>
    <row r="291" spans="1:14" x14ac:dyDescent="0.2">
      <c r="A291" s="19"/>
      <c r="B291" s="219"/>
      <c r="C291" s="219"/>
      <c r="D291" s="219"/>
      <c r="E291" s="219"/>
      <c r="F291" s="219"/>
      <c r="G291" s="219"/>
      <c r="H291" s="219"/>
      <c r="I291" s="219"/>
      <c r="J291" s="219"/>
      <c r="K291" s="219"/>
      <c r="L291" s="219"/>
      <c r="M291" s="219"/>
      <c r="N291" s="19"/>
    </row>
    <row r="292" spans="1:14" ht="25" customHeight="1" x14ac:dyDescent="0.2">
      <c r="A292" s="19"/>
      <c r="B292" s="214" t="s">
        <v>1</v>
      </c>
      <c r="C292" s="214"/>
      <c r="D292" s="214"/>
      <c r="E292" s="214"/>
      <c r="F292" s="214"/>
      <c r="G292" s="214"/>
      <c r="H292" s="214"/>
      <c r="I292" s="18"/>
      <c r="J292" s="18"/>
      <c r="K292" s="18"/>
      <c r="L292" s="18"/>
      <c r="M292" s="18"/>
      <c r="N292" s="19"/>
    </row>
    <row r="293" spans="1:14" x14ac:dyDescent="0.2">
      <c r="A293" s="19"/>
      <c r="B293" s="114" t="s">
        <v>2</v>
      </c>
      <c r="C293" s="114" t="s">
        <v>3</v>
      </c>
      <c r="D293" s="114" t="s">
        <v>4</v>
      </c>
      <c r="E293" s="114" t="s">
        <v>5</v>
      </c>
      <c r="F293" s="114" t="s">
        <v>6</v>
      </c>
      <c r="G293" s="114" t="s">
        <v>7</v>
      </c>
      <c r="H293" s="114" t="s">
        <v>112</v>
      </c>
      <c r="I293" s="19"/>
      <c r="J293" s="19"/>
      <c r="K293" s="19"/>
      <c r="L293" s="19"/>
      <c r="M293" s="19"/>
      <c r="N293" s="19"/>
    </row>
    <row r="294" spans="1:14" x14ac:dyDescent="0.2">
      <c r="A294" s="19"/>
      <c r="B294" s="106" t="str">
        <f>'info, structure, parameters'!A209</f>
        <v>bottle_energy</v>
      </c>
      <c r="C294" s="106">
        <f>'info, structure, parameters'!B209</f>
        <v>32.703299999999999</v>
      </c>
      <c r="D294" s="106" t="str">
        <f>'info, structure, parameters'!C209</f>
        <v>MJ</v>
      </c>
      <c r="E294" s="106">
        <f>'info, structure, parameters'!D209</f>
        <v>32.703299999999999</v>
      </c>
      <c r="F294" s="106">
        <f>'info, structure, parameters'!E209</f>
        <v>32.703299999999999</v>
      </c>
      <c r="G294" s="106" t="str">
        <f>'info, structure, parameters'!F209</f>
        <v>Amount of energy contained in 1 kg of plastic bottle waste</v>
      </c>
      <c r="H294" s="106">
        <f>'info, structure, parameters'!G209</f>
        <v>3</v>
      </c>
      <c r="I294" s="19"/>
      <c r="J294" s="19"/>
      <c r="K294" s="19"/>
      <c r="L294" s="19"/>
      <c r="M294" s="19"/>
      <c r="N294" s="19"/>
    </row>
    <row r="295" spans="1:14" x14ac:dyDescent="0.2">
      <c r="A295" s="19"/>
      <c r="B295" s="106" t="str">
        <f>'info, structure, parameters'!A210</f>
        <v>rigid_energy</v>
      </c>
      <c r="C295" s="106">
        <f>'info, structure, parameters'!B210</f>
        <v>36.212879999999998</v>
      </c>
      <c r="D295" s="106" t="str">
        <f>'info, structure, parameters'!C210</f>
        <v>MJ</v>
      </c>
      <c r="E295" s="106">
        <f>'info, structure, parameters'!D210</f>
        <v>36.212879999999998</v>
      </c>
      <c r="F295" s="106">
        <f>'info, structure, parameters'!E210</f>
        <v>36.212879999999998</v>
      </c>
      <c r="G295" s="106" t="str">
        <f>'info, structure, parameters'!F210</f>
        <v>Amount of energy contained in 1 kg of rigid plastic waste</v>
      </c>
      <c r="H295" s="106">
        <f>'info, structure, parameters'!G210</f>
        <v>3</v>
      </c>
      <c r="I295" s="19"/>
      <c r="J295" s="19"/>
      <c r="K295" s="19"/>
      <c r="L295" s="19"/>
      <c r="M295" s="19"/>
      <c r="N295" s="19"/>
    </row>
    <row r="296" spans="1:14" x14ac:dyDescent="0.2">
      <c r="A296" s="19"/>
      <c r="B296" s="106" t="str">
        <f>'info, structure, parameters'!A211</f>
        <v>soft_energy</v>
      </c>
      <c r="C296" s="106">
        <f>'info, structure, parameters'!B211</f>
        <v>34.407533999999998</v>
      </c>
      <c r="D296" s="106" t="str">
        <f>'info, structure, parameters'!C211</f>
        <v>MJ</v>
      </c>
      <c r="E296" s="106">
        <f>'info, structure, parameters'!D211</f>
        <v>34.407533999999998</v>
      </c>
      <c r="F296" s="106">
        <f>'info, structure, parameters'!E211</f>
        <v>34.407533999999998</v>
      </c>
      <c r="G296" s="106" t="str">
        <f>'info, structure, parameters'!F211</f>
        <v>Amount of energy contained in 1 kg of soft plastic waste</v>
      </c>
      <c r="H296" s="106">
        <f>'info, structure, parameters'!G211</f>
        <v>3</v>
      </c>
      <c r="I296" s="19"/>
      <c r="J296" s="19"/>
      <c r="K296" s="19"/>
      <c r="L296" s="19"/>
      <c r="M296" s="19"/>
      <c r="N296" s="19"/>
    </row>
    <row r="297" spans="1:14" x14ac:dyDescent="0.2">
      <c r="A297" s="19"/>
      <c r="B297" s="106" t="str">
        <f>'info, structure, parameters'!A212</f>
        <v>nonrec_energy</v>
      </c>
      <c r="C297" s="106">
        <f>'info, structure, parameters'!B212</f>
        <v>29.690840000000001</v>
      </c>
      <c r="D297" s="106" t="str">
        <f>'info, structure, parameters'!C212</f>
        <v>MJ</v>
      </c>
      <c r="E297" s="106">
        <f>'info, structure, parameters'!D212</f>
        <v>29.690840000000001</v>
      </c>
      <c r="F297" s="106">
        <f>'info, structure, parameters'!E212</f>
        <v>29.690840000000001</v>
      </c>
      <c r="G297" s="106" t="str">
        <f>'info, structure, parameters'!F212</f>
        <v>Amount of energy contained in 1 kg of non recyclable plastic waste</v>
      </c>
      <c r="H297" s="106">
        <f>'info, structure, parameters'!G212</f>
        <v>3</v>
      </c>
      <c r="I297" s="19"/>
      <c r="J297" s="19"/>
      <c r="K297" s="19"/>
      <c r="L297" s="19"/>
      <c r="M297" s="19"/>
      <c r="N297" s="19"/>
    </row>
    <row r="298" spans="1:14" ht="25" customHeight="1" x14ac:dyDescent="0.2">
      <c r="A298" s="19"/>
      <c r="B298" s="214" t="s">
        <v>44</v>
      </c>
      <c r="C298" s="214"/>
      <c r="D298" s="214"/>
      <c r="E298" s="214"/>
      <c r="F298" s="214"/>
      <c r="G298" s="214"/>
      <c r="H298" s="18"/>
      <c r="I298" s="18"/>
      <c r="J298" s="18"/>
      <c r="K298" s="18"/>
      <c r="L298" s="18"/>
      <c r="M298" s="18"/>
      <c r="N298" s="19"/>
    </row>
    <row r="299" spans="1:14" ht="25" customHeight="1" x14ac:dyDescent="0.2">
      <c r="A299" s="19"/>
      <c r="B299" s="214" t="s">
        <v>48</v>
      </c>
      <c r="C299" s="214"/>
      <c r="D299" s="214"/>
      <c r="E299" s="214"/>
      <c r="F299" s="214"/>
      <c r="G299" s="214"/>
      <c r="H299" s="219"/>
      <c r="I299" s="219"/>
      <c r="J299" s="219"/>
      <c r="K299" s="219"/>
      <c r="L299" s="219"/>
      <c r="M299" s="219"/>
      <c r="N299" s="19"/>
    </row>
    <row r="300" spans="1:14" x14ac:dyDescent="0.2">
      <c r="A300" s="19"/>
      <c r="B300" s="2" t="str">
        <f t="shared" ref="B300:G300" si="61">B186</f>
        <v>Fraction</v>
      </c>
      <c r="C300" s="3" t="str">
        <f t="shared" si="61"/>
        <v>Sub-fraction</v>
      </c>
      <c r="D300" s="3" t="str">
        <f t="shared" si="61"/>
        <v>Name</v>
      </c>
      <c r="E300" s="3" t="str">
        <f t="shared" si="61"/>
        <v>Value</v>
      </c>
      <c r="F300" s="3" t="str">
        <f t="shared" si="61"/>
        <v>Unit</v>
      </c>
      <c r="G300" s="3" t="str">
        <f t="shared" si="61"/>
        <v>Equation</v>
      </c>
      <c r="H300" s="18"/>
      <c r="I300" s="20"/>
      <c r="J300" s="18"/>
      <c r="K300" s="18"/>
      <c r="L300" s="18"/>
      <c r="M300" s="18"/>
      <c r="N300" s="19"/>
    </row>
    <row r="301" spans="1:14" x14ac:dyDescent="0.2">
      <c r="A301" s="19"/>
      <c r="B301" s="220" t="s">
        <v>14</v>
      </c>
      <c r="C301" s="6" t="str">
        <f t="shared" ref="C301:C320" si="62">C61</f>
        <v>PET</v>
      </c>
      <c r="D301" t="s">
        <v>2468</v>
      </c>
      <c r="E301">
        <f>$C$294*E61</f>
        <v>7521.759</v>
      </c>
      <c r="F301" t="s">
        <v>121</v>
      </c>
      <c r="G301" t="str">
        <f>$B$294&amp;" * "&amp;D187</f>
        <v>bottle_energy * bottle_PET_WG_INC_carbon_incineration</v>
      </c>
      <c r="H301" s="224"/>
      <c r="I301" s="19"/>
      <c r="J301" s="19"/>
      <c r="K301" s="19"/>
      <c r="L301" s="19"/>
      <c r="M301" s="19"/>
      <c r="N301" s="19"/>
    </row>
    <row r="302" spans="1:14" x14ac:dyDescent="0.2">
      <c r="A302" s="19"/>
      <c r="B302" s="220"/>
      <c r="C302" s="6" t="str">
        <f t="shared" si="62"/>
        <v>PE</v>
      </c>
      <c r="D302" t="s">
        <v>2469</v>
      </c>
      <c r="E302">
        <f>$C$294*E62</f>
        <v>2289.2309999999998</v>
      </c>
      <c r="F302" t="s">
        <v>121</v>
      </c>
      <c r="G302" t="str">
        <f>$B$294&amp;" * "&amp;D188</f>
        <v>bottle_energy * bottle_PE_WG_INC_carbon_incineration</v>
      </c>
      <c r="H302" s="224"/>
      <c r="I302" s="19"/>
      <c r="J302" s="19"/>
      <c r="K302" s="19"/>
      <c r="L302" s="19"/>
      <c r="M302" s="19"/>
      <c r="N302" s="19"/>
    </row>
    <row r="303" spans="1:14" x14ac:dyDescent="0.2">
      <c r="A303" s="19"/>
      <c r="B303" s="220"/>
      <c r="C303" s="6" t="str">
        <f t="shared" si="62"/>
        <v>PP</v>
      </c>
      <c r="D303" t="s">
        <v>2470</v>
      </c>
      <c r="E303">
        <f>$C$294*E63</f>
        <v>0</v>
      </c>
      <c r="F303" t="s">
        <v>121</v>
      </c>
      <c r="G303" t="str">
        <f>$B$294&amp;" * "&amp;D189</f>
        <v>bottle_energy * bottle_PP_WG_INC_carbon_incineration</v>
      </c>
      <c r="H303" s="224"/>
      <c r="I303" s="19"/>
      <c r="J303" s="19"/>
      <c r="K303" s="19"/>
      <c r="L303" s="19"/>
      <c r="M303" s="19"/>
      <c r="N303" s="19"/>
    </row>
    <row r="304" spans="1:14" x14ac:dyDescent="0.2">
      <c r="A304" s="19"/>
      <c r="B304" s="220"/>
      <c r="C304" s="6" t="str">
        <f t="shared" si="62"/>
        <v>PS</v>
      </c>
      <c r="D304" t="s">
        <v>2471</v>
      </c>
      <c r="E304">
        <f>$C$294*E64</f>
        <v>0</v>
      </c>
      <c r="F304" t="s">
        <v>121</v>
      </c>
      <c r="G304" t="str">
        <f>$B$294&amp;" * "&amp;D190</f>
        <v>bottle_energy * bottle_PS_WG_INC_carbon_incineration</v>
      </c>
      <c r="H304" s="224"/>
      <c r="I304" s="97"/>
      <c r="J304" s="19"/>
      <c r="K304" s="19"/>
      <c r="L304" s="19"/>
      <c r="M304" s="19"/>
      <c r="N304" s="19"/>
    </row>
    <row r="305" spans="1:14" x14ac:dyDescent="0.2">
      <c r="A305" s="19"/>
      <c r="B305" s="220"/>
      <c r="C305" s="6" t="str">
        <f t="shared" si="62"/>
        <v>Other</v>
      </c>
      <c r="D305" t="s">
        <v>2472</v>
      </c>
      <c r="E305">
        <f>$C$294*E65</f>
        <v>0</v>
      </c>
      <c r="F305" t="s">
        <v>121</v>
      </c>
      <c r="G305" t="str">
        <f>$B$294&amp;" * "&amp;D191</f>
        <v>bottle_energy * bottle_Oth_WG_INC_carbon_incineration</v>
      </c>
      <c r="H305" s="224"/>
      <c r="I305" s="97"/>
      <c r="J305" s="19"/>
      <c r="K305" s="19"/>
      <c r="L305" s="19"/>
      <c r="M305" s="19"/>
      <c r="N305" s="19"/>
    </row>
    <row r="306" spans="1:14" x14ac:dyDescent="0.2">
      <c r="A306" s="19"/>
      <c r="B306" s="220" t="s">
        <v>15</v>
      </c>
      <c r="C306" s="6" t="str">
        <f t="shared" si="62"/>
        <v>PET</v>
      </c>
      <c r="D306" t="s">
        <v>2473</v>
      </c>
      <c r="E306">
        <f>$C$295*E66</f>
        <v>1448.5151999999998</v>
      </c>
      <c r="F306" t="s">
        <v>121</v>
      </c>
      <c r="G306" t="str">
        <f>$B$295&amp;" * "&amp;D192</f>
        <v>rigid_energy * rigid_PET_WG_INC_carbon_incineration</v>
      </c>
      <c r="H306" s="224"/>
      <c r="I306" s="19"/>
      <c r="J306" s="19"/>
      <c r="K306" s="19"/>
      <c r="L306" s="19"/>
      <c r="M306" s="19"/>
      <c r="N306" s="19"/>
    </row>
    <row r="307" spans="1:14" x14ac:dyDescent="0.2">
      <c r="A307" s="19"/>
      <c r="B307" s="220"/>
      <c r="C307" s="6" t="str">
        <f t="shared" si="62"/>
        <v>PE</v>
      </c>
      <c r="D307" t="s">
        <v>2474</v>
      </c>
      <c r="E307">
        <f>$C$295*E67</f>
        <v>1086.3863999999999</v>
      </c>
      <c r="F307" t="s">
        <v>121</v>
      </c>
      <c r="G307" t="str">
        <f>$B$295&amp;" * "&amp;D193</f>
        <v>rigid_energy * rigid_PE_WG_INC_carbon_incineration</v>
      </c>
      <c r="H307" s="224"/>
      <c r="I307" s="19"/>
      <c r="J307" s="19"/>
      <c r="K307" s="19"/>
      <c r="L307" s="19"/>
      <c r="M307" s="19"/>
      <c r="N307" s="19"/>
    </row>
    <row r="308" spans="1:14" x14ac:dyDescent="0.2">
      <c r="A308" s="19"/>
      <c r="B308" s="220"/>
      <c r="C308" s="6" t="str">
        <f t="shared" si="62"/>
        <v>PP</v>
      </c>
      <c r="D308" t="s">
        <v>2475</v>
      </c>
      <c r="E308">
        <f>$C$295*E68</f>
        <v>2534.9015999999997</v>
      </c>
      <c r="F308" t="s">
        <v>121</v>
      </c>
      <c r="G308" t="str">
        <f>$B$295&amp;" * "&amp;D194</f>
        <v>rigid_energy * rigid_PP_WG_INC_carbon_incineration</v>
      </c>
      <c r="H308" s="224"/>
      <c r="I308" s="19"/>
      <c r="J308" s="19"/>
      <c r="K308" s="19"/>
      <c r="L308" s="19"/>
      <c r="M308" s="19"/>
      <c r="N308" s="19"/>
    </row>
    <row r="309" spans="1:14" x14ac:dyDescent="0.2">
      <c r="A309" s="19"/>
      <c r="B309" s="220"/>
      <c r="C309" s="6" t="str">
        <f t="shared" si="62"/>
        <v>PS</v>
      </c>
      <c r="D309" t="s">
        <v>2476</v>
      </c>
      <c r="E309">
        <f>$C$295*E69</f>
        <v>362.12879999999996</v>
      </c>
      <c r="F309" t="s">
        <v>121</v>
      </c>
      <c r="G309" t="str">
        <f>$B$295&amp;" * "&amp;D195</f>
        <v>rigid_energy * rigid_PS_WG_INC_carbon_incineration</v>
      </c>
      <c r="H309" s="224"/>
      <c r="I309" s="97"/>
      <c r="J309" s="19"/>
      <c r="K309" s="19"/>
      <c r="L309" s="19"/>
      <c r="M309" s="19"/>
      <c r="N309" s="19"/>
    </row>
    <row r="310" spans="1:14" x14ac:dyDescent="0.2">
      <c r="A310" s="19"/>
      <c r="B310" s="220"/>
      <c r="C310" s="6" t="str">
        <f t="shared" si="62"/>
        <v>Other</v>
      </c>
      <c r="D310" t="s">
        <v>2477</v>
      </c>
      <c r="E310">
        <f>$C$295*E70</f>
        <v>1810.6439999999993</v>
      </c>
      <c r="F310" t="s">
        <v>121</v>
      </c>
      <c r="G310" t="str">
        <f>$B$295&amp;" * "&amp;D196</f>
        <v>rigid_energy * rigid_Oth_WG_INC_carbon_incineration</v>
      </c>
      <c r="H310" s="224"/>
      <c r="I310" s="97"/>
      <c r="J310" s="19"/>
      <c r="K310" s="19"/>
      <c r="L310" s="19"/>
      <c r="M310" s="19"/>
      <c r="N310" s="19"/>
    </row>
    <row r="311" spans="1:14" x14ac:dyDescent="0.2">
      <c r="A311" s="19"/>
      <c r="B311" s="220" t="s">
        <v>42</v>
      </c>
      <c r="C311" s="6" t="str">
        <f t="shared" si="62"/>
        <v>PET</v>
      </c>
      <c r="D311" t="s">
        <v>2478</v>
      </c>
      <c r="E311">
        <f>$C$296*E71</f>
        <v>0</v>
      </c>
      <c r="F311" t="s">
        <v>121</v>
      </c>
      <c r="G311" t="str">
        <f>$B$296&amp;" * "&amp;D197</f>
        <v>soft_energy * soft_PET_WG_INC_carbon_incineration</v>
      </c>
      <c r="H311" s="224"/>
      <c r="I311" s="19"/>
      <c r="J311" s="19"/>
      <c r="K311" s="19"/>
      <c r="L311" s="19"/>
      <c r="M311" s="19"/>
      <c r="N311" s="19"/>
    </row>
    <row r="312" spans="1:14" x14ac:dyDescent="0.2">
      <c r="A312" s="19"/>
      <c r="B312" s="220"/>
      <c r="C312" s="6" t="str">
        <f t="shared" si="62"/>
        <v>PE</v>
      </c>
      <c r="D312" t="s">
        <v>2479</v>
      </c>
      <c r="E312">
        <f>$C$296*E72</f>
        <v>10322.260199999999</v>
      </c>
      <c r="F312" t="s">
        <v>121</v>
      </c>
      <c r="G312" t="str">
        <f>$B$296&amp;" * "&amp;D198</f>
        <v>soft_energy * soft_PE_WG_INC_carbon_incineration</v>
      </c>
      <c r="H312" s="224"/>
      <c r="I312" s="19"/>
      <c r="J312" s="19"/>
      <c r="K312" s="19"/>
      <c r="L312" s="19"/>
      <c r="M312" s="19"/>
      <c r="N312" s="19"/>
    </row>
    <row r="313" spans="1:14" x14ac:dyDescent="0.2">
      <c r="A313" s="19"/>
      <c r="B313" s="220"/>
      <c r="C313" s="6" t="str">
        <f t="shared" si="62"/>
        <v>PP</v>
      </c>
      <c r="D313" t="s">
        <v>2480</v>
      </c>
      <c r="E313">
        <f>$C$296*E73</f>
        <v>0</v>
      </c>
      <c r="F313" t="s">
        <v>121</v>
      </c>
      <c r="G313" t="str">
        <f>$B$296&amp;" * "&amp;D199</f>
        <v>soft_energy * soft_PP_WG_INC_carbon_incineration</v>
      </c>
      <c r="H313" s="224"/>
      <c r="I313" s="97"/>
      <c r="J313" s="19"/>
      <c r="K313" s="19"/>
      <c r="L313" s="19"/>
      <c r="M313" s="19"/>
      <c r="N313" s="19"/>
    </row>
    <row r="314" spans="1:14" x14ac:dyDescent="0.2">
      <c r="A314" s="19"/>
      <c r="B314" s="220"/>
      <c r="C314" s="6" t="str">
        <f t="shared" si="62"/>
        <v>PS</v>
      </c>
      <c r="D314" t="s">
        <v>2481</v>
      </c>
      <c r="E314">
        <f>$C$296*E74</f>
        <v>0</v>
      </c>
      <c r="F314" t="s">
        <v>121</v>
      </c>
      <c r="G314" t="str">
        <f>$B$296&amp;" * "&amp;D200</f>
        <v>soft_energy * soft_PS_WG_INC_carbon_incineration</v>
      </c>
      <c r="H314" s="224"/>
      <c r="I314" s="97"/>
      <c r="J314" s="19"/>
      <c r="K314" s="19"/>
      <c r="L314" s="19"/>
      <c r="M314" s="19"/>
      <c r="N314" s="19"/>
    </row>
    <row r="315" spans="1:14" x14ac:dyDescent="0.2">
      <c r="A315" s="19"/>
      <c r="B315" s="220"/>
      <c r="C315" s="6" t="str">
        <f t="shared" si="62"/>
        <v>Other</v>
      </c>
      <c r="D315" t="s">
        <v>2482</v>
      </c>
      <c r="E315">
        <f>$C$296*E75</f>
        <v>3440.753400000001</v>
      </c>
      <c r="F315" t="s">
        <v>121</v>
      </c>
      <c r="G315" t="str">
        <f>$B$296&amp;" * "&amp;D201</f>
        <v>soft_energy * soft_Oth_WG_INC_carbon_incineration</v>
      </c>
      <c r="H315" s="224"/>
      <c r="I315" s="97"/>
      <c r="J315" s="19"/>
      <c r="K315" s="19"/>
      <c r="L315" s="19"/>
      <c r="M315" s="19"/>
      <c r="N315" s="19"/>
    </row>
    <row r="316" spans="1:14" x14ac:dyDescent="0.2">
      <c r="A316" s="19"/>
      <c r="B316" s="220" t="s">
        <v>19</v>
      </c>
      <c r="C316" s="6" t="str">
        <f t="shared" si="62"/>
        <v>PET</v>
      </c>
      <c r="D316" t="s">
        <v>2483</v>
      </c>
      <c r="E316">
        <f>$C$297*E76</f>
        <v>0</v>
      </c>
      <c r="F316" t="s">
        <v>121</v>
      </c>
      <c r="G316" t="str">
        <f>$B$297&amp;" * "&amp;D202</f>
        <v>nonrec_energy * other_PET_WG_INC_carbon_incineration</v>
      </c>
      <c r="H316" s="224"/>
      <c r="I316" s="97"/>
      <c r="J316" s="19"/>
      <c r="K316" s="19"/>
      <c r="L316" s="19"/>
      <c r="M316" s="19"/>
      <c r="N316" s="19"/>
    </row>
    <row r="317" spans="1:14" x14ac:dyDescent="0.2">
      <c r="A317" s="19"/>
      <c r="B317" s="220"/>
      <c r="C317" s="6" t="str">
        <f t="shared" si="62"/>
        <v>PE</v>
      </c>
      <c r="D317" t="s">
        <v>2484</v>
      </c>
      <c r="E317">
        <f>$C$297*E77</f>
        <v>0</v>
      </c>
      <c r="F317" t="s">
        <v>121</v>
      </c>
      <c r="G317" t="str">
        <f>$B$297&amp;" * "&amp;D203</f>
        <v>nonrec_energy * other_PE_WG_INC_carbon_incineration</v>
      </c>
      <c r="H317" s="224"/>
      <c r="I317" s="97"/>
      <c r="J317" s="19"/>
      <c r="K317" s="19"/>
      <c r="L317" s="19"/>
      <c r="M317" s="19"/>
      <c r="N317" s="19"/>
    </row>
    <row r="318" spans="1:14" x14ac:dyDescent="0.2">
      <c r="A318" s="19"/>
      <c r="B318" s="220"/>
      <c r="C318" s="6" t="str">
        <f t="shared" si="62"/>
        <v>PP</v>
      </c>
      <c r="D318" t="s">
        <v>2485</v>
      </c>
      <c r="E318">
        <f>$C$297*E78</f>
        <v>0</v>
      </c>
      <c r="F318" t="s">
        <v>121</v>
      </c>
      <c r="G318" t="str">
        <f>$B$297&amp;" * "&amp;D204</f>
        <v>nonrec_energy * other_PP_WG_INC_carbon_incineration</v>
      </c>
      <c r="H318" s="224"/>
      <c r="I318" s="97"/>
      <c r="J318" s="19"/>
      <c r="K318" s="19"/>
      <c r="L318" s="19"/>
      <c r="M318" s="19"/>
      <c r="N318" s="19"/>
    </row>
    <row r="319" spans="1:14" x14ac:dyDescent="0.2">
      <c r="A319" s="19"/>
      <c r="B319" s="220"/>
      <c r="C319" s="6" t="str">
        <f t="shared" si="62"/>
        <v>PS</v>
      </c>
      <c r="D319" t="s">
        <v>2486</v>
      </c>
      <c r="E319">
        <f>$C$297*E79</f>
        <v>0</v>
      </c>
      <c r="F319" t="s">
        <v>121</v>
      </c>
      <c r="G319" t="str">
        <f>$B$297&amp;" * "&amp;D205</f>
        <v>nonrec_energy * other_PS_WG_INC_carbon_incineration</v>
      </c>
      <c r="H319" s="224"/>
      <c r="I319" s="97"/>
      <c r="J319" s="19"/>
      <c r="K319" s="19"/>
      <c r="L319" s="19"/>
      <c r="M319" s="19"/>
      <c r="N319" s="19"/>
    </row>
    <row r="320" spans="1:14" x14ac:dyDescent="0.2">
      <c r="A320" s="19"/>
      <c r="B320" s="220"/>
      <c r="C320" s="6" t="str">
        <f t="shared" si="62"/>
        <v>Other</v>
      </c>
      <c r="D320" t="s">
        <v>2487</v>
      </c>
      <c r="E320">
        <f>$C$297*E80</f>
        <v>2969.083999999998</v>
      </c>
      <c r="F320" t="str">
        <f>F319</f>
        <v>MJ</v>
      </c>
      <c r="G320" t="str">
        <f>$B$297&amp;" * "&amp;D206</f>
        <v>nonrec_energy * other_Oth_WG_INC_carbon_incineration</v>
      </c>
      <c r="H320" s="224"/>
      <c r="I320" s="97"/>
      <c r="J320" s="19"/>
      <c r="K320" s="19"/>
      <c r="L320" s="19"/>
      <c r="M320" s="19"/>
      <c r="N320" s="19"/>
    </row>
    <row r="321" spans="1:14" ht="25" customHeight="1" x14ac:dyDescent="0.2">
      <c r="A321" s="19"/>
      <c r="B321" s="214" t="s">
        <v>45</v>
      </c>
      <c r="C321" s="214"/>
      <c r="D321" s="214"/>
      <c r="E321" s="214"/>
      <c r="F321" s="214"/>
      <c r="G321" s="214"/>
      <c r="H321" s="18"/>
      <c r="I321" s="18"/>
      <c r="J321" s="18"/>
      <c r="K321" s="18"/>
      <c r="L321" s="18"/>
      <c r="M321" s="18"/>
      <c r="N321" s="19"/>
    </row>
    <row r="322" spans="1:14" x14ac:dyDescent="0.2">
      <c r="A322" s="19"/>
      <c r="B322" s="53" t="s">
        <v>49</v>
      </c>
      <c r="C322" s="53" t="s">
        <v>3</v>
      </c>
      <c r="D322" s="53" t="s">
        <v>4</v>
      </c>
      <c r="E322" s="53" t="s">
        <v>7</v>
      </c>
      <c r="F322" s="10"/>
      <c r="G322" s="10"/>
      <c r="H322" s="21"/>
      <c r="I322" s="21"/>
      <c r="J322" s="21"/>
      <c r="K322" s="21"/>
      <c r="L322" s="41"/>
      <c r="M322" s="41"/>
      <c r="N322" s="19"/>
    </row>
    <row r="323" spans="1:14" x14ac:dyDescent="0.2">
      <c r="A323" s="19"/>
      <c r="B323" t="s">
        <v>2501</v>
      </c>
      <c r="C323" s="33">
        <f>SUM(E301:E305)</f>
        <v>9810.99</v>
      </c>
      <c r="D323" t="s">
        <v>121</v>
      </c>
      <c r="E323" t="s">
        <v>1992</v>
      </c>
      <c r="F323" s="2"/>
      <c r="G323" s="2"/>
      <c r="H323" s="19"/>
      <c r="I323" s="19"/>
      <c r="J323" s="19"/>
      <c r="K323" s="19"/>
      <c r="L323" s="18"/>
      <c r="M323" s="18"/>
      <c r="N323" s="19"/>
    </row>
    <row r="324" spans="1:14" x14ac:dyDescent="0.2">
      <c r="A324" s="19"/>
      <c r="B324" t="s">
        <v>2498</v>
      </c>
      <c r="C324" s="33">
        <f>SUM(E306:E310)</f>
        <v>7242.5759999999982</v>
      </c>
      <c r="D324" t="str">
        <f>D323</f>
        <v>MJ</v>
      </c>
      <c r="E324" t="s">
        <v>1993</v>
      </c>
      <c r="F324" s="2"/>
      <c r="G324" s="2"/>
      <c r="H324" s="19"/>
      <c r="I324" s="19"/>
      <c r="J324" s="19"/>
      <c r="K324" s="19"/>
      <c r="L324" s="18"/>
      <c r="M324" s="18"/>
      <c r="N324" s="19"/>
    </row>
    <row r="325" spans="1:14" x14ac:dyDescent="0.2">
      <c r="A325" s="19"/>
      <c r="B325" t="s">
        <v>2499</v>
      </c>
      <c r="C325" s="33">
        <f>SUM(E311:E315)</f>
        <v>13763.0136</v>
      </c>
      <c r="D325" t="str">
        <f>D324</f>
        <v>MJ</v>
      </c>
      <c r="E325" t="s">
        <v>1994</v>
      </c>
      <c r="F325" s="2"/>
      <c r="G325" s="2"/>
      <c r="H325" s="19"/>
      <c r="I325" s="19"/>
      <c r="J325" s="19"/>
      <c r="K325" s="19"/>
      <c r="L325" s="18"/>
      <c r="M325" s="18"/>
      <c r="N325" s="19"/>
    </row>
    <row r="326" spans="1:14" ht="16" thickBot="1" x14ac:dyDescent="0.25">
      <c r="A326" s="19"/>
      <c r="B326" s="8" t="s">
        <v>2672</v>
      </c>
      <c r="C326" s="34">
        <f>SUM(E316:E320)</f>
        <v>2969.083999999998</v>
      </c>
      <c r="D326" s="8" t="str">
        <f>D325</f>
        <v>MJ</v>
      </c>
      <c r="E326" s="8" t="s">
        <v>1995</v>
      </c>
      <c r="F326" s="8"/>
      <c r="G326" s="8"/>
      <c r="H326" s="19"/>
      <c r="I326" s="97"/>
      <c r="J326" s="19"/>
      <c r="K326" s="19"/>
      <c r="L326" s="19"/>
      <c r="M326" s="19"/>
      <c r="N326" s="19"/>
    </row>
    <row r="327" spans="1:14" ht="16" thickTop="1" x14ac:dyDescent="0.2">
      <c r="A327" s="19"/>
      <c r="B327" s="44" t="s">
        <v>2500</v>
      </c>
      <c r="C327" s="62">
        <f>SUM(E301:E320)</f>
        <v>33785.663599999993</v>
      </c>
      <c r="D327" s="44" t="str">
        <f>D326</f>
        <v>MJ</v>
      </c>
      <c r="E327" s="44" t="s">
        <v>1996</v>
      </c>
      <c r="F327" s="56"/>
      <c r="G327" s="56"/>
      <c r="H327" s="19"/>
      <c r="I327" s="19"/>
      <c r="J327" s="19"/>
      <c r="K327" s="19"/>
      <c r="L327" s="18"/>
      <c r="M327" s="18"/>
      <c r="N327" s="19"/>
    </row>
    <row r="328" spans="1:14" x14ac:dyDescent="0.2">
      <c r="A328" s="19"/>
      <c r="B328" s="18"/>
      <c r="C328" s="20"/>
      <c r="D328" s="18"/>
      <c r="E328" s="18"/>
      <c r="F328" s="18"/>
      <c r="G328" s="18"/>
      <c r="H328" s="18"/>
      <c r="I328" s="20"/>
      <c r="J328" s="18"/>
      <c r="K328" s="18"/>
      <c r="L328" s="18"/>
      <c r="M328" s="18"/>
      <c r="N328" s="19"/>
    </row>
    <row r="329" spans="1:14" x14ac:dyDescent="0.2">
      <c r="A329" s="19"/>
      <c r="B329" s="18"/>
      <c r="C329" s="20"/>
      <c r="D329" s="18"/>
      <c r="E329" s="18"/>
      <c r="F329" s="18"/>
      <c r="G329" s="18"/>
      <c r="H329" s="18"/>
      <c r="I329" s="20"/>
      <c r="J329" s="18"/>
      <c r="K329" s="18"/>
      <c r="L329" s="18"/>
      <c r="M329" s="18"/>
      <c r="N329" s="19"/>
    </row>
    <row r="330" spans="1:14" x14ac:dyDescent="0.2">
      <c r="A330" s="19"/>
      <c r="B330" s="18"/>
      <c r="C330" s="20"/>
      <c r="D330" s="18"/>
      <c r="E330" s="18"/>
      <c r="F330" s="18"/>
      <c r="G330" s="18"/>
      <c r="H330" s="18"/>
      <c r="I330" s="20"/>
      <c r="J330" s="18"/>
      <c r="K330" s="18"/>
      <c r="L330" s="18"/>
      <c r="M330" s="18"/>
      <c r="N330" s="19"/>
    </row>
    <row r="331" spans="1:14" ht="25" customHeight="1" x14ac:dyDescent="0.2">
      <c r="A331" s="19"/>
      <c r="B331" s="214" t="s">
        <v>117</v>
      </c>
      <c r="C331" s="214"/>
      <c r="D331" s="214"/>
      <c r="E331" s="214"/>
      <c r="F331" s="214"/>
      <c r="G331" s="214"/>
      <c r="H331" s="214"/>
      <c r="I331" s="214"/>
      <c r="J331" s="214"/>
      <c r="K331" s="214"/>
      <c r="L331" s="214"/>
      <c r="M331" s="214"/>
      <c r="N331" s="19"/>
    </row>
    <row r="332" spans="1:14" x14ac:dyDescent="0.2">
      <c r="A332" s="19"/>
      <c r="B332" s="118" t="str">
        <f>B93</f>
        <v>Parameters</v>
      </c>
      <c r="C332" s="118" t="str">
        <f>C93</f>
        <v>Value (average)</v>
      </c>
      <c r="D332" s="118" t="str">
        <f>F93</f>
        <v>Unit</v>
      </c>
      <c r="E332" s="118" t="str">
        <f>D93</f>
        <v>Min</v>
      </c>
      <c r="F332" s="118" t="str">
        <f>E93</f>
        <v>Max</v>
      </c>
      <c r="G332" s="118" t="str">
        <f>G93</f>
        <v>Description</v>
      </c>
      <c r="H332" s="118" t="str">
        <f>H93</f>
        <v>Reference</v>
      </c>
      <c r="I332" s="106"/>
      <c r="J332" s="106"/>
      <c r="K332" s="119"/>
      <c r="L332" s="119"/>
      <c r="M332" s="119"/>
      <c r="N332" s="19"/>
    </row>
    <row r="333" spans="1:14" x14ac:dyDescent="0.2">
      <c r="A333" s="19"/>
      <c r="B333" s="120" t="str">
        <f>'info, structure, parameters'!A189</f>
        <v>TC_electricity_recovery_energy</v>
      </c>
      <c r="C333" s="120">
        <f>'info, structure, parameters'!B189</f>
        <v>0.26</v>
      </c>
      <c r="D333" s="120" t="str">
        <f>'info, structure, parameters'!C189</f>
        <v>% of LHV</v>
      </c>
      <c r="E333" s="120">
        <f>'info, structure, parameters'!D189</f>
        <v>0.26</v>
      </c>
      <c r="F333" s="120">
        <f>'info, structure, parameters'!E189</f>
        <v>0.26</v>
      </c>
      <c r="G333" s="120" t="str">
        <f>'info, structure, parameters'!F189</f>
        <v>Amount of energy in the electricity recovered from the incineration</v>
      </c>
      <c r="H333" s="120">
        <f>'info, structure, parameters'!G189</f>
        <v>4</v>
      </c>
      <c r="I333" s="119"/>
      <c r="J333" s="119"/>
      <c r="K333" s="119"/>
      <c r="L333" s="119"/>
      <c r="M333" s="119"/>
      <c r="N333" s="19"/>
    </row>
    <row r="334" spans="1:14" x14ac:dyDescent="0.2">
      <c r="A334" s="19"/>
      <c r="B334" s="120" t="str">
        <f>'info, structure, parameters'!A190</f>
        <v>TC_heat_recovery_turbine_energy</v>
      </c>
      <c r="C334" s="120">
        <f>'info, structure, parameters'!B190</f>
        <v>0.62</v>
      </c>
      <c r="D334" s="120" t="str">
        <f>'info, structure, parameters'!C190</f>
        <v>% of LHV</v>
      </c>
      <c r="E334" s="120">
        <f>'info, structure, parameters'!D190</f>
        <v>0.62</v>
      </c>
      <c r="F334" s="120">
        <f>'info, structure, parameters'!E190</f>
        <v>0.62</v>
      </c>
      <c r="G334" s="120" t="str">
        <f>'info, structure, parameters'!F190</f>
        <v>Amount of energy in the heat recovered from the incineration</v>
      </c>
      <c r="H334" s="120">
        <f>'info, structure, parameters'!G190</f>
        <v>4</v>
      </c>
      <c r="I334" s="119"/>
      <c r="J334" s="119"/>
      <c r="K334" s="119"/>
      <c r="L334" s="119"/>
      <c r="M334" s="119"/>
      <c r="N334" s="19"/>
    </row>
    <row r="335" spans="1:14" x14ac:dyDescent="0.2">
      <c r="A335" s="19"/>
      <c r="B335" s="120" t="str">
        <f>'info, structure, parameters'!A191</f>
        <v>TC_heat_recovery_condensation_energy</v>
      </c>
      <c r="C335" s="120">
        <f>'info, structure, parameters'!B191</f>
        <v>0.12</v>
      </c>
      <c r="D335" s="120" t="str">
        <f>'info, structure, parameters'!C191</f>
        <v>% of LHV</v>
      </c>
      <c r="E335" s="120">
        <f>'info, structure, parameters'!D191</f>
        <v>0.12</v>
      </c>
      <c r="F335" s="120">
        <f>'info, structure, parameters'!E191</f>
        <v>0.12</v>
      </c>
      <c r="G335" s="120" t="str">
        <f>'info, structure, parameters'!F191</f>
        <v>Amount of energy recovered during flue gas condensation as a percentage of the lower heating value of the waste incincerated</v>
      </c>
      <c r="H335" s="120">
        <f>'info, structure, parameters'!G191</f>
        <v>4</v>
      </c>
      <c r="I335" s="119"/>
      <c r="J335" s="119"/>
      <c r="K335" s="119"/>
      <c r="L335" s="119"/>
      <c r="M335" s="119"/>
      <c r="N335" s="19"/>
    </row>
    <row r="336" spans="1:14" x14ac:dyDescent="0.2">
      <c r="A336" s="19"/>
      <c r="B336" s="120" t="str">
        <f>'info, structure, parameters'!A192</f>
        <v>TC_electricity_factor_CC</v>
      </c>
      <c r="C336" s="120">
        <f>'info, structure, parameters'!B192</f>
        <v>0.5</v>
      </c>
      <c r="D336" s="120" t="str">
        <f>'info, structure, parameters'!C192</f>
        <v>%</v>
      </c>
      <c r="E336" s="120">
        <f>'info, structure, parameters'!D192</f>
        <v>0.5</v>
      </c>
      <c r="F336" s="120">
        <f>'info, structure, parameters'!E192</f>
        <v>0.5</v>
      </c>
      <c r="G336" s="120" t="str">
        <f>'info, structure, parameters'!F192</f>
        <v>Conversion rate between amount of electricity recovered in incineration process with and without carbon capture</v>
      </c>
      <c r="H336" s="120">
        <f>'info, structure, parameters'!G192</f>
        <v>4</v>
      </c>
      <c r="I336" s="119"/>
      <c r="J336" s="119"/>
      <c r="K336" s="119"/>
      <c r="L336" s="119"/>
      <c r="M336" s="119"/>
      <c r="N336" s="19"/>
    </row>
    <row r="337" spans="1:14" x14ac:dyDescent="0.2">
      <c r="A337" s="19"/>
      <c r="B337" s="120" t="str">
        <f>'info, structure, parameters'!A193</f>
        <v>TC_ heat_factor_CC</v>
      </c>
      <c r="C337" s="120">
        <f>'info, structure, parameters'!B193</f>
        <v>1.2</v>
      </c>
      <c r="D337" s="120" t="str">
        <f>'info, structure, parameters'!C193</f>
        <v>%</v>
      </c>
      <c r="E337" s="120">
        <f>'info, structure, parameters'!D193</f>
        <v>1.2</v>
      </c>
      <c r="F337" s="120">
        <f>'info, structure, parameters'!E193</f>
        <v>1.2</v>
      </c>
      <c r="G337" s="120" t="str">
        <f>'info, structure, parameters'!F193</f>
        <v>Conversion rate between amount of heat recovered in incineration process with and without carbon capture</v>
      </c>
      <c r="H337" s="120">
        <f>'info, structure, parameters'!G193</f>
        <v>4</v>
      </c>
      <c r="I337" s="119"/>
      <c r="J337" s="119"/>
      <c r="K337" s="119"/>
      <c r="L337" s="119"/>
      <c r="M337" s="119"/>
      <c r="N337" s="19"/>
    </row>
    <row r="338" spans="1:14" x14ac:dyDescent="0.2">
      <c r="A338" s="19"/>
      <c r="B338" s="120" t="str">
        <f>'info, structure, parameters'!A257</f>
        <v>INC_energy_incineration</v>
      </c>
      <c r="C338" s="120">
        <f>'info, structure, parameters'!B257</f>
        <v>0.36000000000000004</v>
      </c>
      <c r="D338" s="120" t="str">
        <f>'info, structure, parameters'!C257</f>
        <v>MJ/kg MPW</v>
      </c>
      <c r="E338" s="120">
        <f>'info, structure, parameters'!D257</f>
        <v>0.36000000000000004</v>
      </c>
      <c r="F338" s="120">
        <f>'info, structure, parameters'!E257</f>
        <v>0.36000000000000004</v>
      </c>
      <c r="G338" s="120" t="str">
        <f>'info, structure, parameters'!F257</f>
        <v xml:space="preserve">Amount of energy inputted during incineration of 1 kg of plastic (without carbon capture) </v>
      </c>
      <c r="H338" s="120">
        <f>'info, structure, parameters'!G257</f>
        <v>4</v>
      </c>
      <c r="I338" s="119"/>
      <c r="J338" s="119"/>
      <c r="K338" s="119"/>
      <c r="L338" s="119"/>
      <c r="M338" s="119"/>
      <c r="N338" s="19"/>
    </row>
    <row r="339" spans="1:14" x14ac:dyDescent="0.2">
      <c r="A339" s="19"/>
      <c r="B339" s="120" t="str">
        <f>'info, structure, parameters'!A258</f>
        <v>CC_energy_incineration</v>
      </c>
      <c r="C339" s="120">
        <f>'info, structure, parameters'!B258</f>
        <v>0.59399999999999997</v>
      </c>
      <c r="D339" s="120" t="str">
        <f>'info, structure, parameters'!C258</f>
        <v>MJ/kg MPW</v>
      </c>
      <c r="E339" s="120">
        <f>'info, structure, parameters'!D258</f>
        <v>0.59399999999999997</v>
      </c>
      <c r="F339" s="120">
        <f>'info, structure, parameters'!E258</f>
        <v>0.59399999999999997</v>
      </c>
      <c r="G339" s="120" t="str">
        <f>'info, structure, parameters'!F258</f>
        <v xml:space="preserve">Amount of energy inputted during incineration of 1 kg of plastic (with carbon capture) </v>
      </c>
      <c r="H339" s="120">
        <f>'info, structure, parameters'!G258</f>
        <v>4</v>
      </c>
      <c r="I339" s="119"/>
      <c r="J339" s="119"/>
      <c r="K339" s="119"/>
      <c r="L339" s="119"/>
      <c r="M339" s="119"/>
      <c r="N339" s="19"/>
    </row>
    <row r="340" spans="1:14" ht="25" customHeight="1" x14ac:dyDescent="0.2">
      <c r="A340" s="19"/>
      <c r="B340" s="214" t="s">
        <v>127</v>
      </c>
      <c r="C340" s="214"/>
      <c r="D340" s="214"/>
      <c r="E340" s="214"/>
      <c r="F340" s="214"/>
      <c r="G340" s="214"/>
      <c r="H340" s="214"/>
      <c r="I340" s="214"/>
      <c r="J340" s="214"/>
      <c r="K340" s="214"/>
      <c r="L340" s="214"/>
      <c r="M340" s="214"/>
      <c r="N340" s="19"/>
    </row>
    <row r="341" spans="1:14" ht="25" customHeight="1" x14ac:dyDescent="0.2">
      <c r="A341" s="19"/>
      <c r="B341" s="214" t="s">
        <v>201</v>
      </c>
      <c r="C341" s="214"/>
      <c r="D341" s="214"/>
      <c r="E341" s="214"/>
      <c r="F341" s="214"/>
      <c r="G341" s="214"/>
      <c r="H341" s="214" t="s">
        <v>197</v>
      </c>
      <c r="I341" s="214"/>
      <c r="J341" s="214"/>
      <c r="K341" s="214"/>
      <c r="L341" s="214"/>
      <c r="M341" s="214"/>
      <c r="N341" s="19"/>
    </row>
    <row r="342" spans="1:14" x14ac:dyDescent="0.2">
      <c r="A342" s="19"/>
      <c r="B342" s="2" t="s">
        <v>49</v>
      </c>
      <c r="C342" s="2" t="s">
        <v>3</v>
      </c>
      <c r="D342" s="2" t="s">
        <v>4</v>
      </c>
      <c r="E342" s="2" t="s">
        <v>7</v>
      </c>
      <c r="F342" s="10"/>
      <c r="G342" s="10"/>
      <c r="H342" s="2" t="s">
        <v>49</v>
      </c>
      <c r="I342" s="2" t="s">
        <v>3</v>
      </c>
      <c r="J342" s="2" t="s">
        <v>4</v>
      </c>
      <c r="K342" s="2" t="s">
        <v>7</v>
      </c>
      <c r="L342" s="10"/>
      <c r="M342" s="10"/>
      <c r="N342" s="19"/>
    </row>
    <row r="343" spans="1:14" x14ac:dyDescent="0.2">
      <c r="A343" s="19"/>
      <c r="B343" t="s">
        <v>3083</v>
      </c>
      <c r="C343">
        <f>C338*C87</f>
        <v>360</v>
      </c>
      <c r="D343" t="s">
        <v>121</v>
      </c>
      <c r="E343" t="s">
        <v>3079</v>
      </c>
      <c r="F343" s="168"/>
      <c r="G343" s="168"/>
      <c r="L343" s="168"/>
      <c r="M343" s="168"/>
      <c r="N343" s="19"/>
    </row>
    <row r="344" spans="1:14" x14ac:dyDescent="0.2">
      <c r="A344" s="19"/>
      <c r="B344" t="s">
        <v>2488</v>
      </c>
      <c r="C344" s="33">
        <f>$C$333*C323</f>
        <v>2550.8573999999999</v>
      </c>
      <c r="D344" t="s">
        <v>121</v>
      </c>
      <c r="E344" t="s">
        <v>192</v>
      </c>
      <c r="H344" t="s">
        <v>2493</v>
      </c>
      <c r="I344" s="33">
        <f>($C$334+$C$335)*C323</f>
        <v>7260.1325999999999</v>
      </c>
      <c r="J344" t="s">
        <v>121</v>
      </c>
      <c r="K344" t="s">
        <v>187</v>
      </c>
      <c r="N344" s="19"/>
    </row>
    <row r="345" spans="1:14" x14ac:dyDescent="0.2">
      <c r="A345" s="19"/>
      <c r="B345" t="s">
        <v>2489</v>
      </c>
      <c r="C345" s="33">
        <f>$C$333*C324</f>
        <v>1883.0697599999996</v>
      </c>
      <c r="D345" t="str">
        <f>D344</f>
        <v>MJ</v>
      </c>
      <c r="E345" t="s">
        <v>193</v>
      </c>
      <c r="H345" t="s">
        <v>2494</v>
      </c>
      <c r="I345" s="33">
        <f>($C$334+$C$335)*C324</f>
        <v>5359.5062399999988</v>
      </c>
      <c r="J345" t="str">
        <f>J344</f>
        <v>MJ</v>
      </c>
      <c r="K345" t="s">
        <v>188</v>
      </c>
      <c r="N345" s="19"/>
    </row>
    <row r="346" spans="1:14" x14ac:dyDescent="0.2">
      <c r="A346" s="19"/>
      <c r="B346" t="s">
        <v>2490</v>
      </c>
      <c r="C346" s="33">
        <f>$C$333*C325</f>
        <v>3578.3835360000003</v>
      </c>
      <c r="D346" t="str">
        <f t="shared" ref="D346" si="63">D345</f>
        <v>MJ</v>
      </c>
      <c r="E346" t="s">
        <v>194</v>
      </c>
      <c r="H346" t="s">
        <v>2495</v>
      </c>
      <c r="I346" s="33">
        <f>($C$334+$C$335)*C325</f>
        <v>10184.630064000001</v>
      </c>
      <c r="J346" t="str">
        <f t="shared" ref="J346" si="64">J345</f>
        <v>MJ</v>
      </c>
      <c r="K346" t="s">
        <v>189</v>
      </c>
      <c r="N346" s="19"/>
    </row>
    <row r="347" spans="1:14" ht="16" thickBot="1" x14ac:dyDescent="0.25">
      <c r="A347" s="19"/>
      <c r="B347" s="8" t="s">
        <v>2491</v>
      </c>
      <c r="C347" s="34">
        <f>$C$333*C326</f>
        <v>771.96183999999948</v>
      </c>
      <c r="D347" s="8" t="str">
        <f>D346</f>
        <v>MJ</v>
      </c>
      <c r="E347" s="8" t="s">
        <v>195</v>
      </c>
      <c r="F347" s="8"/>
      <c r="G347" s="8"/>
      <c r="H347" s="8" t="s">
        <v>2496</v>
      </c>
      <c r="I347" s="34">
        <f>($C$334+$C$335)*C326</f>
        <v>2197.1221599999985</v>
      </c>
      <c r="J347" s="8" t="str">
        <f>J346</f>
        <v>MJ</v>
      </c>
      <c r="K347" s="8" t="s">
        <v>190</v>
      </c>
      <c r="L347" s="8"/>
      <c r="M347" s="8"/>
      <c r="N347" s="19"/>
    </row>
    <row r="348" spans="1:14" ht="16" thickTop="1" x14ac:dyDescent="0.2">
      <c r="A348" s="19"/>
      <c r="B348" t="s">
        <v>2492</v>
      </c>
      <c r="C348" s="33">
        <f>SUM(C344:C347)</f>
        <v>8784.2725359999986</v>
      </c>
      <c r="D348" t="str">
        <f>D346</f>
        <v>MJ</v>
      </c>
      <c r="E348" t="s">
        <v>196</v>
      </c>
      <c r="H348" t="s">
        <v>2497</v>
      </c>
      <c r="I348" s="33">
        <f>SUM(I344:I347)</f>
        <v>25001.391063999999</v>
      </c>
      <c r="J348" t="str">
        <f>J346</f>
        <v>MJ</v>
      </c>
      <c r="K348" t="s">
        <v>191</v>
      </c>
      <c r="N348" s="19"/>
    </row>
    <row r="349" spans="1:14" ht="25" customHeight="1" x14ac:dyDescent="0.2">
      <c r="A349" s="19"/>
      <c r="B349" s="214" t="s">
        <v>2918</v>
      </c>
      <c r="C349" s="214"/>
      <c r="D349" s="214"/>
      <c r="E349" s="214"/>
      <c r="F349" s="214"/>
      <c r="G349" s="214"/>
      <c r="H349" s="214"/>
      <c r="I349" s="214"/>
      <c r="J349" s="214"/>
      <c r="K349" s="214"/>
      <c r="L349" s="214"/>
      <c r="M349" s="214"/>
      <c r="N349" s="19"/>
    </row>
    <row r="350" spans="1:14" ht="25" customHeight="1" x14ac:dyDescent="0.2">
      <c r="A350" s="19"/>
      <c r="B350" s="214" t="s">
        <v>201</v>
      </c>
      <c r="C350" s="214"/>
      <c r="D350" s="214"/>
      <c r="E350" s="214"/>
      <c r="F350" s="214"/>
      <c r="G350" s="214"/>
      <c r="H350" s="214" t="s">
        <v>197</v>
      </c>
      <c r="I350" s="214"/>
      <c r="J350" s="214"/>
      <c r="K350" s="214"/>
      <c r="L350" s="214"/>
      <c r="M350" s="214"/>
      <c r="N350" s="19"/>
    </row>
    <row r="351" spans="1:14" x14ac:dyDescent="0.2">
      <c r="A351" s="19"/>
      <c r="B351" s="2" t="s">
        <v>49</v>
      </c>
      <c r="C351" s="2" t="s">
        <v>3</v>
      </c>
      <c r="D351" s="2" t="s">
        <v>4</v>
      </c>
      <c r="E351" s="2" t="s">
        <v>7</v>
      </c>
      <c r="F351" s="10"/>
      <c r="G351" s="10"/>
      <c r="H351" s="2" t="s">
        <v>49</v>
      </c>
      <c r="I351" s="2" t="s">
        <v>3</v>
      </c>
      <c r="J351" s="2" t="s">
        <v>4</v>
      </c>
      <c r="K351" s="2" t="s">
        <v>7</v>
      </c>
      <c r="L351" s="10"/>
      <c r="M351" s="10"/>
      <c r="N351" s="19"/>
    </row>
    <row r="352" spans="1:14" x14ac:dyDescent="0.2">
      <c r="A352" s="19"/>
      <c r="B352" t="s">
        <v>3084</v>
      </c>
      <c r="C352" s="33">
        <f>C339*C87</f>
        <v>593.99999999999989</v>
      </c>
      <c r="D352" t="str">
        <f t="shared" ref="D352" si="65">D343</f>
        <v>MJ</v>
      </c>
      <c r="E352" t="s">
        <v>3080</v>
      </c>
      <c r="F352" s="10"/>
      <c r="G352" s="10"/>
      <c r="H352" s="2"/>
      <c r="I352" s="2"/>
      <c r="J352" s="2"/>
      <c r="K352" s="2"/>
      <c r="L352" s="10"/>
      <c r="M352" s="10"/>
      <c r="N352" s="19"/>
    </row>
    <row r="353" spans="1:14" x14ac:dyDescent="0.2">
      <c r="A353" s="19"/>
      <c r="B353" t="s">
        <v>2993</v>
      </c>
      <c r="C353" s="33">
        <f>$C$333*$C$336*C323</f>
        <v>1275.4286999999999</v>
      </c>
      <c r="D353" t="s">
        <v>121</v>
      </c>
      <c r="E353" t="s">
        <v>192</v>
      </c>
      <c r="H353" t="s">
        <v>2998</v>
      </c>
      <c r="I353" s="33">
        <f>($C$334*$C$337+$C$335)*C323</f>
        <v>8476.6953599999997</v>
      </c>
      <c r="J353" t="s">
        <v>121</v>
      </c>
      <c r="K353" t="s">
        <v>187</v>
      </c>
      <c r="N353" s="19"/>
    </row>
    <row r="354" spans="1:14" x14ac:dyDescent="0.2">
      <c r="A354" s="19"/>
      <c r="B354" t="s">
        <v>2994</v>
      </c>
      <c r="C354" s="33">
        <f>$C$333*$C$336*C324</f>
        <v>941.53487999999982</v>
      </c>
      <c r="D354" t="str">
        <f>D353</f>
        <v>MJ</v>
      </c>
      <c r="E354" t="s">
        <v>193</v>
      </c>
      <c r="H354" t="s">
        <v>2999</v>
      </c>
      <c r="I354" s="33">
        <f>($C$334*$C$337+$C$335)*C324</f>
        <v>6257.5856639999984</v>
      </c>
      <c r="J354" t="str">
        <f>J353</f>
        <v>MJ</v>
      </c>
      <c r="K354" t="s">
        <v>188</v>
      </c>
      <c r="N354" s="19"/>
    </row>
    <row r="355" spans="1:14" x14ac:dyDescent="0.2">
      <c r="A355" s="19"/>
      <c r="B355" t="s">
        <v>2995</v>
      </c>
      <c r="C355" s="33">
        <f>$C$333*$C$336*C325</f>
        <v>1789.1917680000001</v>
      </c>
      <c r="D355" t="str">
        <f t="shared" ref="D355" si="66">D354</f>
        <v>MJ</v>
      </c>
      <c r="E355" t="s">
        <v>194</v>
      </c>
      <c r="H355" t="s">
        <v>3000</v>
      </c>
      <c r="I355" s="33">
        <f>($C$334*$C$337+$C$335)*C325</f>
        <v>11891.243750400001</v>
      </c>
      <c r="J355" t="str">
        <f t="shared" ref="J355" si="67">J354</f>
        <v>MJ</v>
      </c>
      <c r="K355" t="s">
        <v>189</v>
      </c>
      <c r="N355" s="19"/>
    </row>
    <row r="356" spans="1:14" ht="16" thickBot="1" x14ac:dyDescent="0.25">
      <c r="A356" s="19"/>
      <c r="B356" s="8" t="s">
        <v>2996</v>
      </c>
      <c r="C356" s="192">
        <f>$C$333*$C$336*C326</f>
        <v>385.98091999999974</v>
      </c>
      <c r="D356" s="8" t="str">
        <f>D355</f>
        <v>MJ</v>
      </c>
      <c r="E356" s="8" t="s">
        <v>195</v>
      </c>
      <c r="F356" s="8"/>
      <c r="G356" s="8"/>
      <c r="H356" s="8" t="s">
        <v>3001</v>
      </c>
      <c r="I356" s="192">
        <f>($C$334*$C$337+$C$335)*C326</f>
        <v>2565.2885759999981</v>
      </c>
      <c r="J356" s="8" t="str">
        <f>J355</f>
        <v>MJ</v>
      </c>
      <c r="K356" s="8" t="s">
        <v>190</v>
      </c>
      <c r="L356" s="8"/>
      <c r="M356" s="8"/>
      <c r="N356" s="19"/>
    </row>
    <row r="357" spans="1:14" ht="16" thickTop="1" x14ac:dyDescent="0.2">
      <c r="A357" s="19"/>
      <c r="B357" s="44" t="s">
        <v>2997</v>
      </c>
      <c r="C357" s="62">
        <f>SUM(C353:C356)</f>
        <v>4392.1362679999993</v>
      </c>
      <c r="D357" s="44" t="str">
        <f>D355</f>
        <v>MJ</v>
      </c>
      <c r="E357" s="44" t="s">
        <v>196</v>
      </c>
      <c r="F357" s="44"/>
      <c r="G357" s="44"/>
      <c r="H357" s="44" t="s">
        <v>3002</v>
      </c>
      <c r="I357" s="62">
        <f>SUM(I353:I356)</f>
        <v>29190.8133504</v>
      </c>
      <c r="J357" s="44" t="str">
        <f>J355</f>
        <v>MJ</v>
      </c>
      <c r="K357" s="44" t="s">
        <v>191</v>
      </c>
      <c r="L357" s="44"/>
      <c r="M357" s="44"/>
      <c r="N357" s="19"/>
    </row>
    <row r="358" spans="1:14" x14ac:dyDescent="0.2">
      <c r="A358" s="19"/>
      <c r="B358" s="98"/>
      <c r="C358" s="97"/>
      <c r="D358" s="19"/>
      <c r="E358" s="19"/>
      <c r="F358" s="19"/>
      <c r="G358" s="19"/>
      <c r="H358" s="98"/>
      <c r="I358" s="97"/>
      <c r="J358" s="19"/>
      <c r="K358" s="19"/>
      <c r="L358" s="19"/>
      <c r="M358" s="19"/>
      <c r="N358" s="19"/>
    </row>
    <row r="359" spans="1:14" x14ac:dyDescent="0.2">
      <c r="A359" s="19"/>
      <c r="B359" s="219"/>
      <c r="C359" s="219"/>
      <c r="D359" s="219"/>
      <c r="E359" s="219"/>
      <c r="F359" s="219"/>
      <c r="G359" s="219"/>
      <c r="H359" s="219"/>
      <c r="I359" s="219"/>
      <c r="J359" s="219"/>
      <c r="K359" s="219"/>
      <c r="L359" s="219"/>
      <c r="M359" s="219"/>
      <c r="N359" s="19"/>
    </row>
    <row r="360" spans="1:14" x14ac:dyDescent="0.2">
      <c r="A360" s="19"/>
      <c r="B360" s="18"/>
      <c r="C360" s="18"/>
      <c r="D360" s="18"/>
      <c r="E360" s="18"/>
      <c r="F360" s="18"/>
      <c r="G360" s="18"/>
      <c r="H360" s="18"/>
      <c r="I360" s="18"/>
      <c r="J360" s="18"/>
      <c r="K360" s="18"/>
      <c r="L360" s="18"/>
      <c r="M360" s="18"/>
      <c r="N360" s="19"/>
    </row>
    <row r="361" spans="1:14" x14ac:dyDescent="0.2">
      <c r="A361" s="99"/>
      <c r="B361" s="99"/>
      <c r="C361" s="99"/>
      <c r="D361" s="99"/>
      <c r="E361" s="99"/>
      <c r="F361" s="99"/>
      <c r="G361" s="99"/>
      <c r="H361" s="99"/>
      <c r="I361" s="99"/>
      <c r="J361" s="99"/>
      <c r="K361" s="99"/>
      <c r="L361" s="99"/>
      <c r="M361" s="99"/>
      <c r="N361" s="99"/>
    </row>
  </sheetData>
  <mergeCells count="108">
    <mergeCell ref="B136:M136"/>
    <mergeCell ref="B139:M139"/>
    <mergeCell ref="C11:M11"/>
    <mergeCell ref="C12:M12"/>
    <mergeCell ref="C13:M13"/>
    <mergeCell ref="C14:M14"/>
    <mergeCell ref="B321:G321"/>
    <mergeCell ref="B331:M331"/>
    <mergeCell ref="C9:M9"/>
    <mergeCell ref="C10:M10"/>
    <mergeCell ref="B277:M277"/>
    <mergeCell ref="H267:H271"/>
    <mergeCell ref="B267:B271"/>
    <mergeCell ref="B253:M253"/>
    <mergeCell ref="B254:M254"/>
    <mergeCell ref="B255:G255"/>
    <mergeCell ref="H255:M255"/>
    <mergeCell ref="H257:H261"/>
    <mergeCell ref="B257:B261"/>
    <mergeCell ref="B222:B226"/>
    <mergeCell ref="H222:H226"/>
    <mergeCell ref="H157:H161"/>
    <mergeCell ref="B162:M162"/>
    <mergeCell ref="B61:B65"/>
    <mergeCell ref="H262:H266"/>
    <mergeCell ref="H299:M299"/>
    <mergeCell ref="B301:B305"/>
    <mergeCell ref="H301:H305"/>
    <mergeCell ref="B306:B310"/>
    <mergeCell ref="B219:M219"/>
    <mergeCell ref="B140:G140"/>
    <mergeCell ref="H140:M140"/>
    <mergeCell ref="B142:B146"/>
    <mergeCell ref="H142:H146"/>
    <mergeCell ref="B147:B151"/>
    <mergeCell ref="H147:H151"/>
    <mergeCell ref="B152:B156"/>
    <mergeCell ref="H152:H156"/>
    <mergeCell ref="B220:G220"/>
    <mergeCell ref="H220:M220"/>
    <mergeCell ref="B218:M218"/>
    <mergeCell ref="B202:B206"/>
    <mergeCell ref="B207:G207"/>
    <mergeCell ref="B359:M359"/>
    <mergeCell ref="B232:B236"/>
    <mergeCell ref="H232:H236"/>
    <mergeCell ref="B237:B241"/>
    <mergeCell ref="H237:H241"/>
    <mergeCell ref="B272:B276"/>
    <mergeCell ref="H272:H276"/>
    <mergeCell ref="B227:B231"/>
    <mergeCell ref="H227:H231"/>
    <mergeCell ref="B340:M340"/>
    <mergeCell ref="B341:G341"/>
    <mergeCell ref="H341:M341"/>
    <mergeCell ref="B349:M349"/>
    <mergeCell ref="B350:G350"/>
    <mergeCell ref="H350:M350"/>
    <mergeCell ref="B242:M242"/>
    <mergeCell ref="H306:H310"/>
    <mergeCell ref="B311:B315"/>
    <mergeCell ref="H311:H315"/>
    <mergeCell ref="B316:B320"/>
    <mergeCell ref="H316:H320"/>
    <mergeCell ref="B262:B266"/>
    <mergeCell ref="B292:H292"/>
    <mergeCell ref="B299:G299"/>
    <mergeCell ref="B29:H29"/>
    <mergeCell ref="B59:G59"/>
    <mergeCell ref="B120:B124"/>
    <mergeCell ref="H120:H124"/>
    <mergeCell ref="B92:M92"/>
    <mergeCell ref="B103:G103"/>
    <mergeCell ref="H103:M103"/>
    <mergeCell ref="B105:B109"/>
    <mergeCell ref="H105:H109"/>
    <mergeCell ref="B110:B114"/>
    <mergeCell ref="H110:H114"/>
    <mergeCell ref="B115:B119"/>
    <mergeCell ref="H115:H119"/>
    <mergeCell ref="B76:B80"/>
    <mergeCell ref="B81:G81"/>
    <mergeCell ref="B66:B70"/>
    <mergeCell ref="B71:B75"/>
    <mergeCell ref="B1:M1"/>
    <mergeCell ref="C3:M3"/>
    <mergeCell ref="C4:M4"/>
    <mergeCell ref="C5:M5"/>
    <mergeCell ref="C6:M6"/>
    <mergeCell ref="C8:M8"/>
    <mergeCell ref="C7:M7"/>
    <mergeCell ref="B184:G184"/>
    <mergeCell ref="B298:G298"/>
    <mergeCell ref="B28:M28"/>
    <mergeCell ref="B174:M174"/>
    <mergeCell ref="B289:M289"/>
    <mergeCell ref="B176:M176"/>
    <mergeCell ref="B291:M291"/>
    <mergeCell ref="B185:G185"/>
    <mergeCell ref="B187:B191"/>
    <mergeCell ref="B192:B196"/>
    <mergeCell ref="B177:H177"/>
    <mergeCell ref="B102:M102"/>
    <mergeCell ref="B125:M125"/>
    <mergeCell ref="B30:G30"/>
    <mergeCell ref="B157:B161"/>
    <mergeCell ref="B58:G58"/>
    <mergeCell ref="B197:B20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866"/>
  <sheetViews>
    <sheetView zoomScale="70" zoomScaleNormal="70" workbookViewId="0">
      <selection activeCell="B1" sqref="B1:M1"/>
    </sheetView>
  </sheetViews>
  <sheetFormatPr baseColWidth="10" defaultColWidth="9.1640625" defaultRowHeight="15" customHeight="1" x14ac:dyDescent="0.2"/>
  <cols>
    <col min="2" max="2" width="47.5" bestFit="1" customWidth="1"/>
    <col min="3" max="3" width="20.5" bestFit="1" customWidth="1"/>
    <col min="4" max="4" width="43.1640625" bestFit="1" customWidth="1"/>
    <col min="5" max="5" width="59.83203125" customWidth="1"/>
    <col min="6" max="6" width="13.6640625" bestFit="1" customWidth="1"/>
    <col min="7" max="7" width="123.33203125" customWidth="1"/>
    <col min="8" max="8" width="44.1640625" bestFit="1" customWidth="1"/>
    <col min="9" max="9" width="16.33203125" bestFit="1" customWidth="1"/>
    <col min="10" max="10" width="43.33203125" bestFit="1" customWidth="1"/>
    <col min="11" max="11" width="10.33203125" customWidth="1"/>
    <col min="12" max="12" width="6.83203125" bestFit="1" customWidth="1"/>
    <col min="13" max="13" width="118.83203125" bestFit="1" customWidth="1"/>
    <col min="16" max="16" width="14.83203125" customWidth="1"/>
    <col min="17" max="17" width="12.1640625" bestFit="1" customWidth="1"/>
    <col min="18" max="18" width="28.33203125" bestFit="1" customWidth="1"/>
    <col min="19" max="19" width="38.5" customWidth="1"/>
    <col min="20" max="20" width="6.83203125" bestFit="1" customWidth="1"/>
    <col min="21" max="21" width="43.33203125" customWidth="1"/>
    <col min="22" max="22" width="9.5" bestFit="1" customWidth="1"/>
    <col min="23" max="23" width="12.1640625" bestFit="1" customWidth="1"/>
    <col min="24" max="24" width="12" bestFit="1" customWidth="1"/>
    <col min="25" max="25" width="12.1640625" bestFit="1" customWidth="1"/>
    <col min="27" max="27" width="63.1640625" customWidth="1"/>
    <col min="30" max="30" width="13.1640625" customWidth="1"/>
    <col min="31" max="31" width="12.33203125" bestFit="1" customWidth="1"/>
    <col min="33" max="34" width="12" bestFit="1" customWidth="1"/>
    <col min="35" max="35" width="65.33203125" customWidth="1"/>
    <col min="36" max="36" width="9.33203125" bestFit="1" customWidth="1"/>
    <col min="37" max="37" width="12.1640625" bestFit="1" customWidth="1"/>
    <col min="39" max="39" width="12" bestFit="1" customWidth="1"/>
    <col min="41" max="41" width="68.5" customWidth="1"/>
  </cols>
  <sheetData>
    <row r="1" spans="2:13" ht="26" x14ac:dyDescent="0.3">
      <c r="B1" s="211" t="s">
        <v>2877</v>
      </c>
      <c r="C1" s="211"/>
      <c r="D1" s="211"/>
      <c r="E1" s="211"/>
      <c r="F1" s="211"/>
      <c r="G1" s="211"/>
      <c r="H1" s="211"/>
      <c r="I1" s="211"/>
      <c r="J1" s="211"/>
      <c r="K1" s="211"/>
      <c r="L1" s="211"/>
      <c r="M1" s="211"/>
    </row>
    <row r="2" spans="2:13" ht="15" customHeight="1" x14ac:dyDescent="0.3">
      <c r="B2" s="46"/>
      <c r="C2" s="46"/>
      <c r="D2" s="46"/>
      <c r="E2" s="46"/>
      <c r="F2" s="46"/>
      <c r="G2" s="46"/>
      <c r="H2" s="46"/>
      <c r="I2" s="46"/>
      <c r="J2" s="46"/>
      <c r="K2" s="46"/>
      <c r="L2" s="46"/>
      <c r="M2" s="46"/>
    </row>
    <row r="3" spans="2:13" ht="15" customHeight="1" x14ac:dyDescent="0.25">
      <c r="B3" s="100" t="s">
        <v>113</v>
      </c>
      <c r="C3" s="2"/>
      <c r="D3" s="2"/>
      <c r="E3" s="2"/>
      <c r="F3" s="2"/>
      <c r="G3" s="2"/>
      <c r="H3" s="2"/>
      <c r="I3" s="2"/>
      <c r="J3" s="2"/>
      <c r="K3" s="2"/>
      <c r="L3" s="2"/>
      <c r="M3" s="2"/>
    </row>
    <row r="4" spans="2:13" ht="15" customHeight="1" x14ac:dyDescent="0.2">
      <c r="B4" s="39">
        <f>'info, structure, parameters'!A17</f>
        <v>1</v>
      </c>
      <c r="C4" s="213" t="str">
        <f>'info, structure, parameters'!B17</f>
        <v>Eriksen, M. K., Damgaard, A., Boldrin, A., and Astrup, T. F. (2019). Quality Assessment and Circularity Potential of Recovery Systems for Household Plastic Waste. Journal of Industrial Ecology, 23(1):156–168.</v>
      </c>
      <c r="D4" s="213"/>
      <c r="E4" s="213"/>
      <c r="F4" s="213"/>
      <c r="G4" s="213"/>
      <c r="H4" s="213"/>
    </row>
    <row r="5" spans="2:13" ht="15" customHeight="1" x14ac:dyDescent="0.2">
      <c r="B5" s="39">
        <f>'info, structure, parameters'!A18</f>
        <v>2</v>
      </c>
      <c r="C5" s="213" t="str">
        <f>'info, structure, parameters'!B18</f>
        <v>Eriksen, M. K., Pivnenko, K., Faraca, G., Boldrin, A., and Astrup, T. F. (2020). Dynamic Material Flow Analysis of PET, PE, and PP Flows in Europe: Evaluation of the Potential for Circular Economy. Environmental Science and Technology, 54(24):16166–16175.</v>
      </c>
      <c r="D5" s="213"/>
      <c r="E5" s="213"/>
      <c r="F5" s="213"/>
      <c r="G5" s="213"/>
      <c r="H5" s="213"/>
    </row>
    <row r="6" spans="2:13" ht="15" customHeight="1" x14ac:dyDescent="0.2">
      <c r="B6" s="39">
        <f>'info, structure, parameters'!A19</f>
        <v>3</v>
      </c>
      <c r="C6" s="213" t="str">
        <f>'info, structure, parameters'!B19</f>
        <v>EASETECH</v>
      </c>
      <c r="D6" s="213"/>
      <c r="E6" s="213"/>
      <c r="F6" s="213"/>
      <c r="G6" s="213"/>
      <c r="H6" s="213"/>
    </row>
    <row r="7" spans="2:13" ht="15" customHeight="1" x14ac:dyDescent="0.2">
      <c r="B7" s="39">
        <f>'info, structure, parameters'!A20</f>
        <v>4</v>
      </c>
      <c r="C7" s="213" t="str">
        <f>'info, structure, parameters'!B20</f>
        <v>Bisinella, V., Hulgaard, T., Riber, C., Damgaard, A., and Christensen, T. H. (2021). Environmental assessment of carbon capture and storage (CCS) as a post-treatment technology in waste incineration. Waste Management, 128:99–113.</v>
      </c>
      <c r="D7" s="213"/>
      <c r="E7" s="213"/>
      <c r="F7" s="213"/>
      <c r="G7" s="213"/>
      <c r="H7" s="213"/>
    </row>
    <row r="8" spans="2:13" ht="15" customHeight="1" x14ac:dyDescent="0.2">
      <c r="B8" s="39">
        <f>'info, structure, parameters'!A21</f>
        <v>5</v>
      </c>
      <c r="C8" s="213" t="str">
        <f>'info, structure, parameters'!B21</f>
        <v>Jeswani, H., Krüger, C., Russ, M., Horlacher, M.,Antony, F., Hann, S., and Azapagic, A. (2021). Life cycle environmental impacts of chemical recycling via pyrolysis of mixed plastic waste in comparison with mechanical recycling and energy recovery. Science of the Total Environment, 769.</v>
      </c>
      <c r="D8" s="213"/>
      <c r="E8" s="213"/>
      <c r="F8" s="213"/>
      <c r="G8" s="213"/>
      <c r="H8" s="213"/>
    </row>
    <row r="9" spans="2:13" ht="15" customHeight="1" x14ac:dyDescent="0.2">
      <c r="B9" s="39">
        <f>'info, structure, parameters'!A22</f>
        <v>6</v>
      </c>
      <c r="C9" s="213" t="str">
        <f>'info, structure, parameters'!B22</f>
        <v>Civancik-Uslu et al. (2021)</v>
      </c>
      <c r="D9" s="213"/>
      <c r="E9" s="213"/>
      <c r="F9" s="213"/>
      <c r="G9" s="213"/>
      <c r="H9" s="213"/>
    </row>
    <row r="10" spans="2:13" ht="15" customHeight="1" x14ac:dyDescent="0.2">
      <c r="B10" s="39">
        <f>'info, structure, parameters'!A23</f>
        <v>7</v>
      </c>
      <c r="C10" s="213" t="str">
        <f>'info, structure, parameters'!B23</f>
        <v>Marie's excel (average)</v>
      </c>
      <c r="D10" s="213"/>
      <c r="E10" s="213"/>
      <c r="F10" s="213"/>
      <c r="G10" s="213"/>
      <c r="H10" s="213"/>
    </row>
    <row r="11" spans="2:13" ht="15" customHeight="1" x14ac:dyDescent="0.2">
      <c r="B11" s="39">
        <f>'info, structure, parameters'!A24</f>
        <v>8</v>
      </c>
      <c r="C11" s="213" t="str">
        <f>'info, structure, parameters'!B24</f>
        <v>Faraca, G., Martinez-Sanchez, V., Astrup, T. F. (2019). Environmental life cycle cost assessment: recycling of hard plastic waste collected at Danish recycling centres. Resources, Conservationand Recycling, 143(October 2018):299–309.</v>
      </c>
      <c r="D11" s="213"/>
      <c r="E11" s="213"/>
      <c r="F11" s="213"/>
      <c r="G11" s="213"/>
      <c r="H11" s="213"/>
    </row>
    <row r="12" spans="2:13" ht="15" customHeight="1" x14ac:dyDescent="0.2">
      <c r="B12" s="39">
        <f>'info, structure, parameters'!A25</f>
        <v>9</v>
      </c>
      <c r="C12" s="213" t="str">
        <f>'info, structure, parameters'!B25</f>
        <v>Civancik-Uslu, D., Nhu, T. T., Van Gorp, B., Kreso-vic, U., Larrain, M., Billen, P., Ragaert, K., DeMeester, S., Dewulf, J., and Huysveld, S. (2021).Moving from linear to circular household plas-tic packaging in Belgium: Prospective life cycleassessment of mechanical and thermochemicalrecycling.Resources, Conservation and Recy-cling, 171(March):105633.</v>
      </c>
      <c r="D12" s="213"/>
      <c r="E12" s="213"/>
      <c r="F12" s="213"/>
      <c r="G12" s="213"/>
      <c r="H12" s="213"/>
    </row>
    <row r="13" spans="2:13" ht="15" customHeight="1" x14ac:dyDescent="0.2">
      <c r="B13" s="39">
        <f>'info, structure, parameters'!A26</f>
        <v>10</v>
      </c>
      <c r="C13" s="213" t="str">
        <f>'info, structure, parameters'!B26</f>
        <v xml:space="preserve">MST/DTU Emballage statistik </v>
      </c>
      <c r="D13" s="213"/>
      <c r="E13" s="213"/>
      <c r="F13" s="213"/>
      <c r="G13" s="213"/>
      <c r="H13" s="213"/>
    </row>
    <row r="14" spans="2:13" ht="15" customHeight="1" x14ac:dyDescent="0.2">
      <c r="B14" s="39">
        <f>'info, structure, parameters'!A27</f>
        <v>11</v>
      </c>
      <c r="C14" s="213" t="str">
        <f>'info, structure, parameters'!B27</f>
        <v xml:space="preserve">Shen,  L.,  Worrell,  E.,  and  Patel,  M.  K.  (2010). Open-loop  recycling:   A  LCA  case  study  ofPET bottle-to-fibre recycling. Resources, Conservation  and  Recycling, </v>
      </c>
      <c r="D14" s="213"/>
      <c r="E14" s="213"/>
      <c r="F14" s="213"/>
      <c r="G14" s="213"/>
      <c r="H14" s="213"/>
    </row>
    <row r="15" spans="2:13" ht="15" customHeight="1" x14ac:dyDescent="0.2">
      <c r="B15" s="39"/>
    </row>
    <row r="16" spans="2:13" ht="15" customHeight="1" x14ac:dyDescent="0.25">
      <c r="B16" s="59" t="s">
        <v>2660</v>
      </c>
    </row>
    <row r="17" spans="2:2" ht="15" customHeight="1" x14ac:dyDescent="0.2">
      <c r="B17" s="39"/>
    </row>
    <row r="18" spans="2:2" ht="15" customHeight="1" x14ac:dyDescent="0.2">
      <c r="B18" s="39"/>
    </row>
    <row r="19" spans="2:2" ht="15" customHeight="1" x14ac:dyDescent="0.2">
      <c r="B19" s="39"/>
    </row>
    <row r="20" spans="2:2" ht="15" customHeight="1" x14ac:dyDescent="0.2">
      <c r="B20" s="39"/>
    </row>
    <row r="21" spans="2:2" ht="15" customHeight="1" x14ac:dyDescent="0.2">
      <c r="B21" s="39"/>
    </row>
    <row r="22" spans="2:2" ht="15" customHeight="1" x14ac:dyDescent="0.2">
      <c r="B22" s="39"/>
    </row>
    <row r="23" spans="2:2" ht="15" customHeight="1" x14ac:dyDescent="0.2">
      <c r="B23" s="39"/>
    </row>
    <row r="24" spans="2:2" ht="15" customHeight="1" x14ac:dyDescent="0.2">
      <c r="B24" s="39"/>
    </row>
    <row r="25" spans="2:2" ht="15" customHeight="1" x14ac:dyDescent="0.2">
      <c r="B25" s="39"/>
    </row>
    <row r="26" spans="2:2" ht="15" customHeight="1" x14ac:dyDescent="0.2">
      <c r="B26" s="39"/>
    </row>
    <row r="27" spans="2:2" ht="15" customHeight="1" x14ac:dyDescent="0.2">
      <c r="B27" s="39"/>
    </row>
    <row r="28" spans="2:2" ht="15" customHeight="1" x14ac:dyDescent="0.2">
      <c r="B28" s="39"/>
    </row>
    <row r="29" spans="2:2" ht="15" customHeight="1" x14ac:dyDescent="0.2">
      <c r="B29" s="39"/>
    </row>
    <row r="30" spans="2:2" ht="15" customHeight="1" x14ac:dyDescent="0.2">
      <c r="B30" s="39" t="s">
        <v>2668</v>
      </c>
    </row>
    <row r="31" spans="2:2" ht="15" customHeight="1" x14ac:dyDescent="0.2">
      <c r="B31" s="39"/>
    </row>
    <row r="32" spans="2:2" ht="15" customHeight="1" x14ac:dyDescent="0.2">
      <c r="B32" s="39"/>
    </row>
    <row r="34" spans="1:14" ht="15" customHeight="1" x14ac:dyDescent="0.2">
      <c r="A34" s="76"/>
      <c r="B34" s="76"/>
      <c r="C34" s="76"/>
      <c r="D34" s="76"/>
      <c r="E34" s="76"/>
      <c r="F34" s="76"/>
      <c r="G34" s="76"/>
      <c r="H34" s="76"/>
      <c r="I34" s="76"/>
      <c r="J34" s="76"/>
      <c r="K34" s="76"/>
      <c r="L34" s="76"/>
      <c r="M34" s="76"/>
      <c r="N34" s="76"/>
    </row>
    <row r="35" spans="1:14" s="78" customFormat="1" ht="15" customHeight="1" x14ac:dyDescent="0.3">
      <c r="A35" s="47"/>
      <c r="B35" s="215" t="s">
        <v>98</v>
      </c>
      <c r="C35" s="215"/>
      <c r="D35" s="215"/>
      <c r="E35" s="215"/>
      <c r="F35" s="215"/>
      <c r="G35" s="215"/>
      <c r="H35" s="215"/>
      <c r="I35" s="215"/>
      <c r="J35" s="215"/>
      <c r="K35" s="215"/>
      <c r="L35" s="215"/>
      <c r="M35" s="215"/>
      <c r="N35" s="48"/>
    </row>
    <row r="36" spans="1:14" ht="15" customHeight="1" x14ac:dyDescent="0.2">
      <c r="A36" s="12"/>
      <c r="B36" s="12"/>
      <c r="C36" s="12"/>
      <c r="D36" s="12"/>
      <c r="E36" s="12"/>
      <c r="F36" s="12"/>
      <c r="G36" s="12"/>
      <c r="H36" s="12"/>
      <c r="I36" s="12"/>
      <c r="J36" s="12"/>
      <c r="K36" s="12"/>
      <c r="L36" s="12"/>
      <c r="M36" s="12"/>
      <c r="N36" s="12"/>
    </row>
    <row r="37" spans="1:14" ht="25" customHeight="1" x14ac:dyDescent="0.2">
      <c r="A37" s="12"/>
      <c r="B37" s="214" t="s">
        <v>1</v>
      </c>
      <c r="C37" s="214"/>
      <c r="D37" s="214"/>
      <c r="E37" s="214"/>
      <c r="F37" s="214"/>
      <c r="G37" s="214"/>
      <c r="H37" s="214"/>
      <c r="I37" s="214"/>
      <c r="J37" s="214"/>
      <c r="K37" s="214"/>
      <c r="L37" s="214"/>
      <c r="M37" s="214"/>
      <c r="N37" s="12"/>
    </row>
    <row r="38" spans="1:14" ht="15" customHeight="1" x14ac:dyDescent="0.2">
      <c r="A38" s="12"/>
      <c r="B38" s="114" t="s">
        <v>2</v>
      </c>
      <c r="C38" s="114" t="s">
        <v>144</v>
      </c>
      <c r="D38" s="114" t="s">
        <v>4</v>
      </c>
      <c r="E38" s="114" t="s">
        <v>7</v>
      </c>
      <c r="F38" s="114" t="s">
        <v>112</v>
      </c>
      <c r="G38" s="106"/>
      <c r="H38" s="106"/>
      <c r="I38" s="106"/>
      <c r="J38" s="106"/>
      <c r="K38" s="106"/>
      <c r="L38" s="106"/>
      <c r="M38" s="106"/>
      <c r="N38" s="12"/>
    </row>
    <row r="39" spans="1:14" ht="15" customHeight="1" x14ac:dyDescent="0.2">
      <c r="A39" s="12"/>
      <c r="B39" s="106" t="str">
        <f>'info, structure, parameters'!A91</f>
        <v>Total_WG</v>
      </c>
      <c r="C39" s="115">
        <f>'info, structure, parameters'!B91</f>
        <v>1000</v>
      </c>
      <c r="D39" s="106" t="s">
        <v>10</v>
      </c>
      <c r="E39" s="106" t="str">
        <f>'info, structure, parameters'!D91</f>
        <v xml:space="preserve">Total waste generation </v>
      </c>
      <c r="F39" s="106"/>
      <c r="G39" s="106"/>
      <c r="H39" s="106"/>
      <c r="I39" s="106"/>
      <c r="J39" s="106"/>
      <c r="K39" s="106"/>
      <c r="L39" s="106"/>
      <c r="M39" s="106"/>
      <c r="N39" s="12"/>
    </row>
    <row r="40" spans="1:14" ht="15" customHeight="1" x14ac:dyDescent="0.2">
      <c r="A40" s="12"/>
      <c r="B40" s="106" t="str">
        <f>'info, structure, parameters'!A92</f>
        <v xml:space="preserve">Plastic_fraction </v>
      </c>
      <c r="C40" s="115">
        <f>'info, structure, parameters'!B92</f>
        <v>1</v>
      </c>
      <c r="D40" s="106" t="s">
        <v>9</v>
      </c>
      <c r="E40" s="106" t="str">
        <f>'info, structure, parameters'!D92</f>
        <v>Share of plastic in the generated waste</v>
      </c>
      <c r="F40" s="106"/>
      <c r="G40" s="106"/>
      <c r="H40" s="106"/>
      <c r="I40" s="106"/>
      <c r="J40" s="106"/>
      <c r="K40" s="106"/>
      <c r="L40" s="106"/>
      <c r="M40" s="106"/>
      <c r="N40" s="12"/>
    </row>
    <row r="41" spans="1:14" ht="15" customHeight="1" x14ac:dyDescent="0.2">
      <c r="A41" s="12"/>
      <c r="B41" s="106" t="str">
        <f>'info, structure, parameters'!A93</f>
        <v xml:space="preserve">Plastic_fraction_bottle </v>
      </c>
      <c r="C41" s="115">
        <f>'info, structure, parameters'!B93</f>
        <v>0.3</v>
      </c>
      <c r="D41" s="106" t="s">
        <v>9</v>
      </c>
      <c r="E41" s="106" t="str">
        <f>'info, structure, parameters'!D93</f>
        <v xml:space="preserve">The bottle share of the plastic fraction </v>
      </c>
      <c r="F41" s="106">
        <f>'info, structure, parameters'!E93</f>
        <v>1</v>
      </c>
      <c r="G41" s="106"/>
      <c r="H41" s="106"/>
      <c r="I41" s="106"/>
      <c r="J41" s="106"/>
      <c r="K41" s="106"/>
      <c r="L41" s="106"/>
      <c r="M41" s="106"/>
      <c r="N41" s="12"/>
    </row>
    <row r="42" spans="1:14" ht="15" customHeight="1" x14ac:dyDescent="0.2">
      <c r="A42" s="12"/>
      <c r="B42" s="106" t="str">
        <f>'info, structure, parameters'!A94</f>
        <v xml:space="preserve">Plastic_fraction_rigid </v>
      </c>
      <c r="C42" s="115">
        <f>'info, structure, parameters'!B94</f>
        <v>0.2</v>
      </c>
      <c r="D42" s="106" t="s">
        <v>9</v>
      </c>
      <c r="E42" s="106" t="str">
        <f>'info, structure, parameters'!D94</f>
        <v>The rigid share of the plastic fraction</v>
      </c>
      <c r="F42" s="106">
        <f>'info, structure, parameters'!E94</f>
        <v>1</v>
      </c>
      <c r="G42" s="106"/>
      <c r="H42" s="106"/>
      <c r="I42" s="106"/>
      <c r="J42" s="106"/>
      <c r="K42" s="106"/>
      <c r="L42" s="106"/>
      <c r="M42" s="106"/>
      <c r="N42" s="12"/>
    </row>
    <row r="43" spans="1:14" ht="15" customHeight="1" x14ac:dyDescent="0.2">
      <c r="A43" s="12"/>
      <c r="B43" s="106" t="str">
        <f>'info, structure, parameters'!A95</f>
        <v xml:space="preserve">Plastic_fraction_soft </v>
      </c>
      <c r="C43" s="115">
        <f>'info, structure, parameters'!B95</f>
        <v>0.4</v>
      </c>
      <c r="D43" s="106" t="s">
        <v>9</v>
      </c>
      <c r="E43" s="106" t="str">
        <f>'info, structure, parameters'!D95</f>
        <v>The soft share of the plastic fraction</v>
      </c>
      <c r="F43" s="106">
        <f>'info, structure, parameters'!E95</f>
        <v>1</v>
      </c>
      <c r="G43" s="106"/>
      <c r="H43" s="106"/>
      <c r="I43" s="106"/>
      <c r="J43" s="106"/>
      <c r="K43" s="106"/>
      <c r="L43" s="106"/>
      <c r="M43" s="106"/>
      <c r="N43" s="12"/>
    </row>
    <row r="44" spans="1:14" ht="15" customHeight="1" x14ac:dyDescent="0.2">
      <c r="A44" s="12"/>
      <c r="B44" s="106" t="str">
        <f>'info, structure, parameters'!A96</f>
        <v xml:space="preserve">Plastic_fraction_other </v>
      </c>
      <c r="C44" s="115">
        <f>'info, structure, parameters'!B96</f>
        <v>9.9999999999999922E-2</v>
      </c>
      <c r="D44" s="106" t="s">
        <v>9</v>
      </c>
      <c r="E44" s="106" t="str">
        <f>'info, structure, parameters'!D96</f>
        <v>The other share of the plastic fraction</v>
      </c>
      <c r="F44" s="106">
        <f>'info, structure, parameters'!E96</f>
        <v>1</v>
      </c>
      <c r="G44" s="106"/>
      <c r="H44" s="106"/>
      <c r="I44" s="106"/>
      <c r="J44" s="106"/>
      <c r="K44" s="106"/>
      <c r="L44" s="106"/>
      <c r="M44" s="106"/>
      <c r="N44" s="12"/>
    </row>
    <row r="45" spans="1:14" ht="15" customHeight="1" x14ac:dyDescent="0.2">
      <c r="A45" s="12"/>
      <c r="B45" s="106" t="str">
        <f>'info, structure, parameters'!A97</f>
        <v xml:space="preserve">bottle_PET </v>
      </c>
      <c r="C45" s="115">
        <f>'info, structure, parameters'!B97</f>
        <v>0.23</v>
      </c>
      <c r="D45" s="106" t="s">
        <v>9</v>
      </c>
      <c r="E45" s="106" t="str">
        <f>'info, structure, parameters'!D97</f>
        <v>The PET share of the bottle fraction</v>
      </c>
      <c r="F45" s="106">
        <f>'info, structure, parameters'!E97</f>
        <v>1</v>
      </c>
      <c r="G45" s="106"/>
      <c r="H45" s="106"/>
      <c r="I45" s="106"/>
      <c r="J45" s="106"/>
      <c r="K45" s="106"/>
      <c r="L45" s="106"/>
      <c r="M45" s="106"/>
      <c r="N45" s="12"/>
    </row>
    <row r="46" spans="1:14" ht="15" customHeight="1" x14ac:dyDescent="0.2">
      <c r="A46" s="12"/>
      <c r="B46" s="106" t="str">
        <f>'info, structure, parameters'!A98</f>
        <v xml:space="preserve">bottle_PE </v>
      </c>
      <c r="C46" s="115">
        <f>'info, structure, parameters'!B98</f>
        <v>7.0000000000000007E-2</v>
      </c>
      <c r="D46" s="106" t="s">
        <v>9</v>
      </c>
      <c r="E46" s="106" t="str">
        <f>'info, structure, parameters'!D98</f>
        <v>The PE share of the bottle fraction</v>
      </c>
      <c r="F46" s="106">
        <f>'info, structure, parameters'!E98</f>
        <v>1</v>
      </c>
      <c r="G46" s="106"/>
      <c r="H46" s="106"/>
      <c r="I46" s="106"/>
      <c r="J46" s="106"/>
      <c r="K46" s="106"/>
      <c r="L46" s="106"/>
      <c r="M46" s="106"/>
      <c r="N46" s="12"/>
    </row>
    <row r="47" spans="1:14" ht="15" customHeight="1" x14ac:dyDescent="0.2">
      <c r="A47" s="12"/>
      <c r="B47" s="106" t="str">
        <f>'info, structure, parameters'!A99</f>
        <v xml:space="preserve">bottle_PP </v>
      </c>
      <c r="C47" s="115">
        <f>'info, structure, parameters'!B99</f>
        <v>0</v>
      </c>
      <c r="D47" s="106" t="s">
        <v>9</v>
      </c>
      <c r="E47" s="106" t="str">
        <f>'info, structure, parameters'!D99</f>
        <v>The PP share of the bottle fraction</v>
      </c>
      <c r="F47" s="106">
        <f>'info, structure, parameters'!E99</f>
        <v>1</v>
      </c>
      <c r="G47" s="106"/>
      <c r="H47" s="106"/>
      <c r="I47" s="106"/>
      <c r="J47" s="106"/>
      <c r="K47" s="106"/>
      <c r="L47" s="106"/>
      <c r="M47" s="106"/>
      <c r="N47" s="12"/>
    </row>
    <row r="48" spans="1:14" ht="15" customHeight="1" x14ac:dyDescent="0.2">
      <c r="A48" s="12"/>
      <c r="B48" s="106" t="str">
        <f>'info, structure, parameters'!A100</f>
        <v xml:space="preserve">bottle_PS </v>
      </c>
      <c r="C48" s="115">
        <f>'info, structure, parameters'!B100</f>
        <v>0</v>
      </c>
      <c r="D48" s="106" t="s">
        <v>9</v>
      </c>
      <c r="E48" s="106" t="str">
        <f>'info, structure, parameters'!D100</f>
        <v>The PS share of the bottle fraction</v>
      </c>
      <c r="F48" s="106">
        <f>'info, structure, parameters'!E100</f>
        <v>1</v>
      </c>
      <c r="G48" s="106"/>
      <c r="H48" s="106"/>
      <c r="I48" s="106"/>
      <c r="J48" s="106"/>
      <c r="K48" s="106"/>
      <c r="L48" s="106"/>
      <c r="M48" s="106"/>
      <c r="N48" s="12"/>
    </row>
    <row r="49" spans="1:14" ht="15" customHeight="1" x14ac:dyDescent="0.2">
      <c r="A49" s="12"/>
      <c r="B49" s="106" t="str">
        <f>'info, structure, parameters'!A101</f>
        <v xml:space="preserve">bottle_Oth </v>
      </c>
      <c r="C49" s="115">
        <f>'info, structure, parameters'!B101</f>
        <v>0</v>
      </c>
      <c r="D49" s="106" t="s">
        <v>9</v>
      </c>
      <c r="E49" s="106" t="str">
        <f>'info, structure, parameters'!D101</f>
        <v>The Other share of the bottle fraction</v>
      </c>
      <c r="F49" s="106">
        <f>'info, structure, parameters'!E101</f>
        <v>1</v>
      </c>
      <c r="G49" s="106"/>
      <c r="H49" s="106"/>
      <c r="I49" s="106"/>
      <c r="J49" s="106"/>
      <c r="K49" s="106"/>
      <c r="L49" s="106"/>
      <c r="M49" s="106"/>
      <c r="N49" s="12"/>
    </row>
    <row r="50" spans="1:14" ht="15" customHeight="1" x14ac:dyDescent="0.2">
      <c r="A50" s="12"/>
      <c r="B50" s="106" t="str">
        <f>'info, structure, parameters'!A102</f>
        <v xml:space="preserve">rigid_PET </v>
      </c>
      <c r="C50" s="115">
        <f>'info, structure, parameters'!B102</f>
        <v>0.04</v>
      </c>
      <c r="D50" s="106" t="s">
        <v>9</v>
      </c>
      <c r="E50" s="106" t="str">
        <f>'info, structure, parameters'!D102</f>
        <v>The PET share of the rigid fraction</v>
      </c>
      <c r="F50" s="106">
        <f>'info, structure, parameters'!E102</f>
        <v>1</v>
      </c>
      <c r="G50" s="106"/>
      <c r="H50" s="106"/>
      <c r="I50" s="106"/>
      <c r="J50" s="106"/>
      <c r="K50" s="106"/>
      <c r="L50" s="106"/>
      <c r="M50" s="106"/>
      <c r="N50" s="12"/>
    </row>
    <row r="51" spans="1:14" ht="15" customHeight="1" x14ac:dyDescent="0.2">
      <c r="A51" s="12"/>
      <c r="B51" s="106" t="str">
        <f>'info, structure, parameters'!A103</f>
        <v xml:space="preserve">rigid_PE </v>
      </c>
      <c r="C51" s="115">
        <f>'info, structure, parameters'!B103</f>
        <v>0.03</v>
      </c>
      <c r="D51" s="106" t="s">
        <v>9</v>
      </c>
      <c r="E51" s="106" t="str">
        <f>'info, structure, parameters'!D103</f>
        <v>The PE share of the rigid fraction</v>
      </c>
      <c r="F51" s="106">
        <f>'info, structure, parameters'!E103</f>
        <v>1</v>
      </c>
      <c r="G51" s="106"/>
      <c r="H51" s="106"/>
      <c r="I51" s="106"/>
      <c r="J51" s="106"/>
      <c r="K51" s="106"/>
      <c r="L51" s="106"/>
      <c r="M51" s="106"/>
      <c r="N51" s="12"/>
    </row>
    <row r="52" spans="1:14" ht="15" customHeight="1" x14ac:dyDescent="0.2">
      <c r="A52" s="12"/>
      <c r="B52" s="106" t="str">
        <f>'info, structure, parameters'!A104</f>
        <v xml:space="preserve">rigid_PP </v>
      </c>
      <c r="C52" s="115">
        <f>'info, structure, parameters'!B104</f>
        <v>7.0000000000000007E-2</v>
      </c>
      <c r="D52" s="106" t="s">
        <v>9</v>
      </c>
      <c r="E52" s="106" t="str">
        <f>'info, structure, parameters'!D104</f>
        <v>The PP share of the rigid fraction</v>
      </c>
      <c r="F52" s="106">
        <f>'info, structure, parameters'!E104</f>
        <v>1</v>
      </c>
      <c r="G52" s="106"/>
      <c r="H52" s="106"/>
      <c r="I52" s="106"/>
      <c r="J52" s="106"/>
      <c r="K52" s="106"/>
      <c r="L52" s="106"/>
      <c r="M52" s="106"/>
      <c r="N52" s="12"/>
    </row>
    <row r="53" spans="1:14" ht="15" customHeight="1" x14ac:dyDescent="0.2">
      <c r="A53" s="12"/>
      <c r="B53" s="106" t="str">
        <f>'info, structure, parameters'!A105</f>
        <v xml:space="preserve">rigid_PS </v>
      </c>
      <c r="C53" s="115">
        <f>'info, structure, parameters'!B105</f>
        <v>0.01</v>
      </c>
      <c r="D53" s="106" t="s">
        <v>9</v>
      </c>
      <c r="E53" s="106" t="str">
        <f>'info, structure, parameters'!D105</f>
        <v>The PS share of the rigid fraction</v>
      </c>
      <c r="F53" s="106">
        <f>'info, structure, parameters'!E105</f>
        <v>1</v>
      </c>
      <c r="G53" s="106"/>
      <c r="H53" s="106"/>
      <c r="I53" s="106"/>
      <c r="J53" s="106"/>
      <c r="K53" s="106"/>
      <c r="L53" s="106"/>
      <c r="M53" s="106"/>
      <c r="N53" s="12"/>
    </row>
    <row r="54" spans="1:14" ht="15" customHeight="1" x14ac:dyDescent="0.2">
      <c r="A54" s="12"/>
      <c r="B54" s="106" t="str">
        <f>'info, structure, parameters'!A106</f>
        <v xml:space="preserve">rigid_Oth </v>
      </c>
      <c r="C54" s="115">
        <f>'info, structure, parameters'!B106</f>
        <v>4.9999999999999989E-2</v>
      </c>
      <c r="D54" s="106" t="s">
        <v>9</v>
      </c>
      <c r="E54" s="106" t="str">
        <f>'info, structure, parameters'!D106</f>
        <v>The Other share of the rigid fraction</v>
      </c>
      <c r="F54" s="106">
        <f>'info, structure, parameters'!E106</f>
        <v>1</v>
      </c>
      <c r="G54" s="106"/>
      <c r="H54" s="106"/>
      <c r="I54" s="106"/>
      <c r="J54" s="106"/>
      <c r="K54" s="106"/>
      <c r="L54" s="106"/>
      <c r="M54" s="106"/>
      <c r="N54" s="12"/>
    </row>
    <row r="55" spans="1:14" ht="15" customHeight="1" x14ac:dyDescent="0.2">
      <c r="A55" s="12"/>
      <c r="B55" s="106" t="str">
        <f>'info, structure, parameters'!A107</f>
        <v xml:space="preserve">soft_PET </v>
      </c>
      <c r="C55" s="115">
        <f>'info, structure, parameters'!B107</f>
        <v>0</v>
      </c>
      <c r="D55" s="106" t="s">
        <v>9</v>
      </c>
      <c r="E55" s="106" t="str">
        <f>'info, structure, parameters'!D107</f>
        <v>The PET share of the soft fraction</v>
      </c>
      <c r="F55" s="106">
        <f>'info, structure, parameters'!E107</f>
        <v>1</v>
      </c>
      <c r="G55" s="106"/>
      <c r="H55" s="106"/>
      <c r="I55" s="106"/>
      <c r="J55" s="106"/>
      <c r="K55" s="106"/>
      <c r="L55" s="106"/>
      <c r="M55" s="106"/>
      <c r="N55" s="12"/>
    </row>
    <row r="56" spans="1:14" ht="15" customHeight="1" x14ac:dyDescent="0.2">
      <c r="A56" s="12"/>
      <c r="B56" s="106" t="str">
        <f>'info, structure, parameters'!A108</f>
        <v xml:space="preserve">soft_PE </v>
      </c>
      <c r="C56" s="115">
        <f>'info, structure, parameters'!B108</f>
        <v>0.3</v>
      </c>
      <c r="D56" s="106" t="s">
        <v>9</v>
      </c>
      <c r="E56" s="106" t="str">
        <f>'info, structure, parameters'!D108</f>
        <v>The PE share of the soft fraction</v>
      </c>
      <c r="F56" s="106">
        <f>'info, structure, parameters'!E108</f>
        <v>1</v>
      </c>
      <c r="G56" s="106"/>
      <c r="H56" s="106"/>
      <c r="I56" s="106"/>
      <c r="J56" s="106"/>
      <c r="K56" s="106"/>
      <c r="L56" s="106"/>
      <c r="M56" s="106"/>
      <c r="N56" s="12"/>
    </row>
    <row r="57" spans="1:14" ht="15" customHeight="1" x14ac:dyDescent="0.2">
      <c r="A57" s="12"/>
      <c r="B57" s="106" t="str">
        <f>'info, structure, parameters'!A109</f>
        <v xml:space="preserve">soft_PP </v>
      </c>
      <c r="C57" s="115">
        <f>'info, structure, parameters'!B109</f>
        <v>0</v>
      </c>
      <c r="D57" s="106" t="s">
        <v>9</v>
      </c>
      <c r="E57" s="106" t="str">
        <f>'info, structure, parameters'!D109</f>
        <v>The PP share of the soft fraction</v>
      </c>
      <c r="F57" s="106">
        <f>'info, structure, parameters'!E109</f>
        <v>1</v>
      </c>
      <c r="G57" s="106"/>
      <c r="H57" s="106"/>
      <c r="I57" s="106"/>
      <c r="J57" s="106"/>
      <c r="K57" s="106"/>
      <c r="L57" s="106"/>
      <c r="M57" s="106"/>
      <c r="N57" s="12"/>
    </row>
    <row r="58" spans="1:14" ht="15" customHeight="1" x14ac:dyDescent="0.2">
      <c r="A58" s="12"/>
      <c r="B58" s="106" t="str">
        <f>'info, structure, parameters'!A110</f>
        <v xml:space="preserve">soft_PS </v>
      </c>
      <c r="C58" s="115">
        <f>'info, structure, parameters'!B110</f>
        <v>0</v>
      </c>
      <c r="D58" s="106" t="s">
        <v>9</v>
      </c>
      <c r="E58" s="106" t="str">
        <f>'info, structure, parameters'!D110</f>
        <v>The PS share of the soft fraction</v>
      </c>
      <c r="F58" s="106">
        <f>'info, structure, parameters'!E110</f>
        <v>1</v>
      </c>
      <c r="G58" s="106"/>
      <c r="H58" s="106"/>
      <c r="I58" s="106"/>
      <c r="J58" s="106"/>
      <c r="K58" s="106"/>
      <c r="L58" s="106"/>
      <c r="M58" s="106"/>
      <c r="N58" s="12"/>
    </row>
    <row r="59" spans="1:14" ht="15" customHeight="1" x14ac:dyDescent="0.2">
      <c r="A59" s="12"/>
      <c r="B59" s="106" t="str">
        <f>'info, structure, parameters'!A111</f>
        <v xml:space="preserve">soft_Oth </v>
      </c>
      <c r="C59" s="115">
        <f>'info, structure, parameters'!B111</f>
        <v>0.10000000000000003</v>
      </c>
      <c r="D59" s="106" t="s">
        <v>9</v>
      </c>
      <c r="E59" s="106" t="str">
        <f>'info, structure, parameters'!D111</f>
        <v>The Other share of the soft fraction</v>
      </c>
      <c r="F59" s="106">
        <f>'info, structure, parameters'!E111</f>
        <v>1</v>
      </c>
      <c r="G59" s="106"/>
      <c r="H59" s="106"/>
      <c r="I59" s="106"/>
      <c r="J59" s="106"/>
      <c r="K59" s="106"/>
      <c r="L59" s="106"/>
      <c r="M59" s="106"/>
      <c r="N59" s="12"/>
    </row>
    <row r="60" spans="1:14" ht="15" customHeight="1" x14ac:dyDescent="0.2">
      <c r="A60" s="12"/>
      <c r="B60" s="106" t="str">
        <f>'info, structure, parameters'!A112</f>
        <v xml:space="preserve">other_PET </v>
      </c>
      <c r="C60" s="115">
        <f>'info, structure, parameters'!B112</f>
        <v>0</v>
      </c>
      <c r="D60" s="106" t="s">
        <v>9</v>
      </c>
      <c r="E60" s="106" t="str">
        <f>'info, structure, parameters'!D112</f>
        <v>The PET share of the other fraction</v>
      </c>
      <c r="F60" s="106">
        <f>'info, structure, parameters'!E112</f>
        <v>1</v>
      </c>
      <c r="G60" s="106"/>
      <c r="H60" s="106"/>
      <c r="I60" s="106"/>
      <c r="J60" s="106"/>
      <c r="K60" s="106"/>
      <c r="L60" s="106"/>
      <c r="M60" s="106"/>
      <c r="N60" s="12"/>
    </row>
    <row r="61" spans="1:14" ht="15" customHeight="1" x14ac:dyDescent="0.2">
      <c r="A61" s="12"/>
      <c r="B61" s="106" t="str">
        <f>'info, structure, parameters'!A113</f>
        <v xml:space="preserve">other_PE </v>
      </c>
      <c r="C61" s="115">
        <f>'info, structure, parameters'!B113</f>
        <v>0</v>
      </c>
      <c r="D61" s="106" t="s">
        <v>9</v>
      </c>
      <c r="E61" s="106" t="str">
        <f>'info, structure, parameters'!D113</f>
        <v>The PE share of the other fraction</v>
      </c>
      <c r="F61" s="106">
        <f>'info, structure, parameters'!E113</f>
        <v>1</v>
      </c>
      <c r="G61" s="106"/>
      <c r="H61" s="106"/>
      <c r="I61" s="106"/>
      <c r="J61" s="106"/>
      <c r="K61" s="106"/>
      <c r="L61" s="106"/>
      <c r="M61" s="106"/>
      <c r="N61" s="12"/>
    </row>
    <row r="62" spans="1:14" ht="15" customHeight="1" x14ac:dyDescent="0.2">
      <c r="A62" s="12"/>
      <c r="B62" s="106" t="str">
        <f>'info, structure, parameters'!A114</f>
        <v xml:space="preserve">other_PP </v>
      </c>
      <c r="C62" s="115">
        <f>'info, structure, parameters'!B114</f>
        <v>0</v>
      </c>
      <c r="D62" s="106" t="s">
        <v>9</v>
      </c>
      <c r="E62" s="106" t="str">
        <f>'info, structure, parameters'!D114</f>
        <v>The PP share of the other fraction</v>
      </c>
      <c r="F62" s="106">
        <f>'info, structure, parameters'!E114</f>
        <v>1</v>
      </c>
      <c r="G62" s="106"/>
      <c r="H62" s="106"/>
      <c r="I62" s="106"/>
      <c r="J62" s="106"/>
      <c r="K62" s="106"/>
      <c r="L62" s="106"/>
      <c r="M62" s="106"/>
      <c r="N62" s="12"/>
    </row>
    <row r="63" spans="1:14" ht="15" customHeight="1" x14ac:dyDescent="0.2">
      <c r="A63" s="12"/>
      <c r="B63" s="106" t="str">
        <f>'info, structure, parameters'!A115</f>
        <v xml:space="preserve">other_PS </v>
      </c>
      <c r="C63" s="115">
        <f>'info, structure, parameters'!B115</f>
        <v>0</v>
      </c>
      <c r="D63" s="106" t="s">
        <v>9</v>
      </c>
      <c r="E63" s="106" t="str">
        <f>'info, structure, parameters'!D115</f>
        <v>The PS share of the other fraction</v>
      </c>
      <c r="F63" s="106">
        <f>'info, structure, parameters'!E115</f>
        <v>1</v>
      </c>
      <c r="G63" s="106"/>
      <c r="H63" s="106"/>
      <c r="I63" s="106"/>
      <c r="J63" s="106"/>
      <c r="K63" s="106"/>
      <c r="L63" s="106"/>
      <c r="M63" s="106"/>
      <c r="N63" s="12"/>
    </row>
    <row r="64" spans="1:14" ht="15" customHeight="1" x14ac:dyDescent="0.2">
      <c r="A64" s="12"/>
      <c r="B64" s="106" t="str">
        <f>'info, structure, parameters'!A116</f>
        <v xml:space="preserve">other_Oth </v>
      </c>
      <c r="C64" s="115">
        <f>'info, structure, parameters'!B116</f>
        <v>9.9999999999999922E-2</v>
      </c>
      <c r="D64" s="106" t="s">
        <v>9</v>
      </c>
      <c r="E64" s="106" t="str">
        <f>'info, structure, parameters'!D116</f>
        <v>The Other share of the other fraction</v>
      </c>
      <c r="F64" s="106">
        <f>'info, structure, parameters'!E116</f>
        <v>1</v>
      </c>
      <c r="G64" s="106"/>
      <c r="H64" s="106"/>
      <c r="I64" s="106"/>
      <c r="J64" s="106"/>
      <c r="K64" s="106"/>
      <c r="L64" s="106"/>
      <c r="M64" s="106"/>
      <c r="N64" s="12"/>
    </row>
    <row r="65" spans="1:14" ht="25" customHeight="1" x14ac:dyDescent="0.2">
      <c r="A65" s="12"/>
      <c r="B65" s="214" t="s">
        <v>44</v>
      </c>
      <c r="C65" s="214"/>
      <c r="D65" s="214"/>
      <c r="E65" s="214"/>
      <c r="F65" s="214"/>
      <c r="G65" s="214"/>
      <c r="H65" s="214"/>
      <c r="I65" s="214"/>
      <c r="J65" s="214"/>
      <c r="K65" s="214"/>
      <c r="L65" s="214"/>
      <c r="M65" s="214"/>
      <c r="N65" s="12"/>
    </row>
    <row r="66" spans="1:14" ht="25" customHeight="1" x14ac:dyDescent="0.2">
      <c r="A66" s="12"/>
      <c r="B66" s="214" t="s">
        <v>47</v>
      </c>
      <c r="C66" s="214"/>
      <c r="D66" s="214"/>
      <c r="E66" s="214"/>
      <c r="F66" s="214"/>
      <c r="G66" s="223"/>
      <c r="H66" s="214" t="s">
        <v>48</v>
      </c>
      <c r="I66" s="214"/>
      <c r="J66" s="214"/>
      <c r="K66" s="214"/>
      <c r="L66" s="214"/>
      <c r="M66" s="214"/>
      <c r="N66" s="12"/>
    </row>
    <row r="67" spans="1:14" ht="15" customHeight="1" x14ac:dyDescent="0.2">
      <c r="A67" s="12"/>
      <c r="B67" s="2" t="s">
        <v>21</v>
      </c>
      <c r="C67" s="3" t="s">
        <v>20</v>
      </c>
      <c r="D67" s="2" t="s">
        <v>99</v>
      </c>
      <c r="E67" s="2" t="s">
        <v>3</v>
      </c>
      <c r="F67" s="2" t="s">
        <v>4</v>
      </c>
      <c r="G67" s="4" t="s">
        <v>43</v>
      </c>
      <c r="H67" s="2" t="s">
        <v>21</v>
      </c>
      <c r="I67" s="3" t="s">
        <v>20</v>
      </c>
      <c r="J67" s="2" t="str">
        <f>D67</f>
        <v>Name</v>
      </c>
      <c r="K67" s="2" t="s">
        <v>3</v>
      </c>
      <c r="L67" s="2" t="s">
        <v>4</v>
      </c>
      <c r="M67" s="2" t="s">
        <v>43</v>
      </c>
      <c r="N67" s="12"/>
    </row>
    <row r="68" spans="1:14" ht="15" customHeight="1" x14ac:dyDescent="0.2">
      <c r="A68" s="12"/>
      <c r="B68" s="220" t="s">
        <v>14</v>
      </c>
      <c r="C68" s="6" t="s">
        <v>16</v>
      </c>
      <c r="D68" t="s">
        <v>221</v>
      </c>
      <c r="E68">
        <f>C45*$C$39</f>
        <v>230</v>
      </c>
      <c r="F68" t="s">
        <v>10</v>
      </c>
      <c r="G68" s="32" t="str">
        <f t="shared" ref="G68:G82" si="0">B45&amp;" * "&amp;$B$39</f>
        <v>bottle_PET  * Total_WG</v>
      </c>
      <c r="H68" s="220" t="s">
        <v>14</v>
      </c>
      <c r="I68" t="s">
        <v>16</v>
      </c>
      <c r="J68" t="s">
        <v>241</v>
      </c>
      <c r="K68">
        <v>0</v>
      </c>
      <c r="L68" t="s">
        <v>10</v>
      </c>
      <c r="N68" s="12"/>
    </row>
    <row r="69" spans="1:14" ht="15" customHeight="1" x14ac:dyDescent="0.2">
      <c r="A69" s="12"/>
      <c r="B69" s="220"/>
      <c r="C69" s="6" t="s">
        <v>22</v>
      </c>
      <c r="D69" t="s">
        <v>222</v>
      </c>
      <c r="E69">
        <f>C46*$C$39</f>
        <v>70</v>
      </c>
      <c r="F69" t="s">
        <v>10</v>
      </c>
      <c r="G69" s="32" t="str">
        <f t="shared" si="0"/>
        <v>bottle_PE  * Total_WG</v>
      </c>
      <c r="H69" s="220"/>
      <c r="I69" t="s">
        <v>22</v>
      </c>
      <c r="J69" t="s">
        <v>242</v>
      </c>
      <c r="K69">
        <v>0</v>
      </c>
      <c r="L69" t="s">
        <v>10</v>
      </c>
      <c r="N69" s="12"/>
    </row>
    <row r="70" spans="1:14" ht="15" customHeight="1" x14ac:dyDescent="0.2">
      <c r="A70" s="12"/>
      <c r="B70" s="220"/>
      <c r="C70" s="6" t="s">
        <v>17</v>
      </c>
      <c r="D70" t="s">
        <v>223</v>
      </c>
      <c r="E70">
        <f t="shared" ref="E70:E81" si="1">C47*$C$39</f>
        <v>0</v>
      </c>
      <c r="F70" t="s">
        <v>10</v>
      </c>
      <c r="G70" s="32" t="str">
        <f t="shared" si="0"/>
        <v>bottle_PP  * Total_WG</v>
      </c>
      <c r="H70" s="220"/>
      <c r="I70" t="s">
        <v>17</v>
      </c>
      <c r="J70" t="s">
        <v>243</v>
      </c>
      <c r="K70">
        <v>0</v>
      </c>
      <c r="L70" t="s">
        <v>10</v>
      </c>
      <c r="N70" s="12"/>
    </row>
    <row r="71" spans="1:14" ht="15" customHeight="1" x14ac:dyDescent="0.2">
      <c r="A71" s="12"/>
      <c r="B71" s="220"/>
      <c r="C71" t="s">
        <v>18</v>
      </c>
      <c r="D71" t="s">
        <v>224</v>
      </c>
      <c r="E71">
        <f t="shared" si="1"/>
        <v>0</v>
      </c>
      <c r="F71" t="s">
        <v>10</v>
      </c>
      <c r="G71" s="32" t="str">
        <f t="shared" si="0"/>
        <v>bottle_PS  * Total_WG</v>
      </c>
      <c r="H71" s="220"/>
      <c r="I71" s="6" t="s">
        <v>18</v>
      </c>
      <c r="J71" t="s">
        <v>244</v>
      </c>
      <c r="K71">
        <f>C48*$C$39</f>
        <v>0</v>
      </c>
      <c r="L71" t="s">
        <v>10</v>
      </c>
      <c r="N71" s="12"/>
    </row>
    <row r="72" spans="1:14" ht="15" customHeight="1" x14ac:dyDescent="0.2">
      <c r="A72" s="12"/>
      <c r="B72" s="220"/>
      <c r="C72" t="s">
        <v>19</v>
      </c>
      <c r="D72" t="s">
        <v>225</v>
      </c>
      <c r="E72">
        <f t="shared" si="1"/>
        <v>0</v>
      </c>
      <c r="F72" t="s">
        <v>10</v>
      </c>
      <c r="G72" s="32" t="str">
        <f t="shared" si="0"/>
        <v>bottle_Oth  * Total_WG</v>
      </c>
      <c r="H72" s="220"/>
      <c r="I72" s="6" t="s">
        <v>19</v>
      </c>
      <c r="J72" t="s">
        <v>245</v>
      </c>
      <c r="K72">
        <f>C49*$C$39</f>
        <v>0</v>
      </c>
      <c r="L72" t="s">
        <v>10</v>
      </c>
      <c r="N72" s="12"/>
    </row>
    <row r="73" spans="1:14" ht="15" customHeight="1" x14ac:dyDescent="0.2">
      <c r="A73" s="12"/>
      <c r="B73" s="220" t="s">
        <v>15</v>
      </c>
      <c r="C73" s="6" t="s">
        <v>16</v>
      </c>
      <c r="D73" t="s">
        <v>226</v>
      </c>
      <c r="E73">
        <f t="shared" si="1"/>
        <v>40</v>
      </c>
      <c r="F73" t="s">
        <v>10</v>
      </c>
      <c r="G73" s="32" t="str">
        <f t="shared" si="0"/>
        <v>rigid_PET  * Total_WG</v>
      </c>
      <c r="H73" s="220" t="s">
        <v>15</v>
      </c>
      <c r="I73" t="s">
        <v>16</v>
      </c>
      <c r="J73" t="s">
        <v>246</v>
      </c>
      <c r="K73">
        <v>0</v>
      </c>
      <c r="L73" t="s">
        <v>10</v>
      </c>
      <c r="N73" s="12"/>
    </row>
    <row r="74" spans="1:14" ht="15" customHeight="1" x14ac:dyDescent="0.2">
      <c r="A74" s="12"/>
      <c r="B74" s="220"/>
      <c r="C74" s="6" t="s">
        <v>22</v>
      </c>
      <c r="D74" t="s">
        <v>227</v>
      </c>
      <c r="E74">
        <f t="shared" si="1"/>
        <v>30</v>
      </c>
      <c r="F74" t="s">
        <v>10</v>
      </c>
      <c r="G74" s="32" t="str">
        <f t="shared" si="0"/>
        <v>rigid_PE  * Total_WG</v>
      </c>
      <c r="H74" s="220"/>
      <c r="I74" t="s">
        <v>22</v>
      </c>
      <c r="J74" t="s">
        <v>247</v>
      </c>
      <c r="K74">
        <v>0</v>
      </c>
      <c r="L74" t="s">
        <v>10</v>
      </c>
      <c r="N74" s="12"/>
    </row>
    <row r="75" spans="1:14" ht="15" customHeight="1" x14ac:dyDescent="0.2">
      <c r="A75" s="12"/>
      <c r="B75" s="220"/>
      <c r="C75" s="6" t="s">
        <v>17</v>
      </c>
      <c r="D75" t="s">
        <v>228</v>
      </c>
      <c r="E75">
        <f t="shared" si="1"/>
        <v>70</v>
      </c>
      <c r="F75" t="s">
        <v>10</v>
      </c>
      <c r="G75" s="32" t="str">
        <f t="shared" si="0"/>
        <v>rigid_PP  * Total_WG</v>
      </c>
      <c r="H75" s="220"/>
      <c r="I75" t="s">
        <v>17</v>
      </c>
      <c r="J75" t="s">
        <v>248</v>
      </c>
      <c r="K75">
        <v>0</v>
      </c>
      <c r="L75" t="s">
        <v>10</v>
      </c>
      <c r="N75" s="12"/>
    </row>
    <row r="76" spans="1:14" ht="15" customHeight="1" x14ac:dyDescent="0.2">
      <c r="A76" s="12"/>
      <c r="B76" s="220"/>
      <c r="C76" t="s">
        <v>18</v>
      </c>
      <c r="D76" t="s">
        <v>229</v>
      </c>
      <c r="E76">
        <f t="shared" si="1"/>
        <v>10</v>
      </c>
      <c r="F76" t="s">
        <v>10</v>
      </c>
      <c r="G76" s="32" t="str">
        <f t="shared" si="0"/>
        <v>rigid_PS  * Total_WG</v>
      </c>
      <c r="H76" s="220"/>
      <c r="I76" s="6" t="s">
        <v>18</v>
      </c>
      <c r="J76" t="s">
        <v>249</v>
      </c>
      <c r="K76">
        <v>0</v>
      </c>
      <c r="L76" t="s">
        <v>10</v>
      </c>
      <c r="N76" s="12"/>
    </row>
    <row r="77" spans="1:14" ht="15" customHeight="1" x14ac:dyDescent="0.2">
      <c r="A77" s="12"/>
      <c r="B77" s="220"/>
      <c r="C77" t="s">
        <v>19</v>
      </c>
      <c r="D77" t="s">
        <v>230</v>
      </c>
      <c r="E77">
        <f t="shared" si="1"/>
        <v>49.999999999999986</v>
      </c>
      <c r="F77" t="s">
        <v>10</v>
      </c>
      <c r="G77" s="32" t="str">
        <f t="shared" si="0"/>
        <v>rigid_Oth  * Total_WG</v>
      </c>
      <c r="H77" s="220"/>
      <c r="I77" s="6" t="s">
        <v>19</v>
      </c>
      <c r="J77" t="s">
        <v>250</v>
      </c>
      <c r="K77">
        <v>0</v>
      </c>
      <c r="L77" t="s">
        <v>10</v>
      </c>
      <c r="N77" s="12"/>
    </row>
    <row r="78" spans="1:14" ht="15" customHeight="1" x14ac:dyDescent="0.2">
      <c r="A78" s="12"/>
      <c r="B78" s="220" t="s">
        <v>42</v>
      </c>
      <c r="C78" s="6" t="s">
        <v>16</v>
      </c>
      <c r="D78" t="s">
        <v>231</v>
      </c>
      <c r="E78">
        <f t="shared" si="1"/>
        <v>0</v>
      </c>
      <c r="F78" t="s">
        <v>10</v>
      </c>
      <c r="G78" s="32" t="str">
        <f t="shared" si="0"/>
        <v>soft_PET  * Total_WG</v>
      </c>
      <c r="H78" s="220" t="s">
        <v>42</v>
      </c>
      <c r="I78" t="s">
        <v>16</v>
      </c>
      <c r="J78" t="s">
        <v>251</v>
      </c>
      <c r="K78">
        <v>0</v>
      </c>
      <c r="L78" t="s">
        <v>10</v>
      </c>
      <c r="N78" s="12"/>
    </row>
    <row r="79" spans="1:14" ht="15" customHeight="1" x14ac:dyDescent="0.2">
      <c r="A79" s="12"/>
      <c r="B79" s="220"/>
      <c r="C79" s="6" t="s">
        <v>22</v>
      </c>
      <c r="D79" t="s">
        <v>232</v>
      </c>
      <c r="E79">
        <f t="shared" si="1"/>
        <v>300</v>
      </c>
      <c r="F79" t="s">
        <v>10</v>
      </c>
      <c r="G79" s="32" t="str">
        <f t="shared" si="0"/>
        <v>soft_PE  * Total_WG</v>
      </c>
      <c r="H79" s="220"/>
      <c r="I79" t="s">
        <v>22</v>
      </c>
      <c r="J79" t="s">
        <v>252</v>
      </c>
      <c r="K79">
        <v>0</v>
      </c>
      <c r="L79" t="s">
        <v>10</v>
      </c>
      <c r="N79" s="12"/>
    </row>
    <row r="80" spans="1:14" ht="15" customHeight="1" x14ac:dyDescent="0.2">
      <c r="A80" s="12"/>
      <c r="B80" s="220"/>
      <c r="C80" s="6" t="s">
        <v>17</v>
      </c>
      <c r="D80" t="s">
        <v>233</v>
      </c>
      <c r="E80">
        <f>C57*$C$39</f>
        <v>0</v>
      </c>
      <c r="F80" t="s">
        <v>10</v>
      </c>
      <c r="G80" s="32" t="str">
        <f t="shared" si="0"/>
        <v>soft_PP  * Total_WG</v>
      </c>
      <c r="H80" s="220"/>
      <c r="I80" t="s">
        <v>17</v>
      </c>
      <c r="J80" t="s">
        <v>253</v>
      </c>
      <c r="K80">
        <v>0</v>
      </c>
      <c r="L80" t="s">
        <v>10</v>
      </c>
      <c r="N80" s="12"/>
    </row>
    <row r="81" spans="1:14" ht="15" customHeight="1" x14ac:dyDescent="0.2">
      <c r="A81" s="12"/>
      <c r="B81" s="220"/>
      <c r="C81" s="6" t="s">
        <v>18</v>
      </c>
      <c r="D81" t="s">
        <v>234</v>
      </c>
      <c r="E81">
        <f t="shared" si="1"/>
        <v>0</v>
      </c>
      <c r="F81" t="s">
        <v>10</v>
      </c>
      <c r="G81" s="32" t="str">
        <f t="shared" si="0"/>
        <v>soft_PS  * Total_WG</v>
      </c>
      <c r="H81" s="220"/>
      <c r="I81" s="6" t="s">
        <v>18</v>
      </c>
      <c r="J81" t="s">
        <v>254</v>
      </c>
      <c r="K81">
        <f>C58*$C$39</f>
        <v>0</v>
      </c>
      <c r="L81" t="s">
        <v>10</v>
      </c>
      <c r="N81" s="12"/>
    </row>
    <row r="82" spans="1:14" ht="15" customHeight="1" x14ac:dyDescent="0.2">
      <c r="A82" s="12"/>
      <c r="B82" s="220"/>
      <c r="C82" s="6" t="s">
        <v>19</v>
      </c>
      <c r="D82" t="s">
        <v>235</v>
      </c>
      <c r="E82">
        <f>C59*$C$39</f>
        <v>100.00000000000003</v>
      </c>
      <c r="F82" t="s">
        <v>10</v>
      </c>
      <c r="G82" s="32" t="str">
        <f t="shared" si="0"/>
        <v>soft_Oth  * Total_WG</v>
      </c>
      <c r="H82" s="220"/>
      <c r="I82" s="6" t="s">
        <v>19</v>
      </c>
      <c r="J82" t="s">
        <v>255</v>
      </c>
      <c r="K82">
        <v>0</v>
      </c>
      <c r="L82" t="s">
        <v>10</v>
      </c>
      <c r="N82" s="12"/>
    </row>
    <row r="83" spans="1:14" ht="15" customHeight="1" x14ac:dyDescent="0.2">
      <c r="A83" s="12"/>
      <c r="B83" s="220" t="s">
        <v>19</v>
      </c>
      <c r="C83" s="6" t="s">
        <v>16</v>
      </c>
      <c r="D83" t="s">
        <v>236</v>
      </c>
      <c r="E83">
        <f t="shared" ref="E83:E87" si="2">C60*$C$39</f>
        <v>0</v>
      </c>
      <c r="F83" t="s">
        <v>10</v>
      </c>
      <c r="G83" s="32" t="str">
        <f>B60&amp;" * "&amp;$B$39</f>
        <v>other_PET  * Total_WG</v>
      </c>
      <c r="H83" s="220" t="s">
        <v>19</v>
      </c>
      <c r="I83" s="6" t="s">
        <v>16</v>
      </c>
      <c r="J83" t="s">
        <v>256</v>
      </c>
      <c r="K83">
        <v>0</v>
      </c>
      <c r="L83" t="s">
        <v>10</v>
      </c>
      <c r="N83" s="12"/>
    </row>
    <row r="84" spans="1:14" ht="15" customHeight="1" x14ac:dyDescent="0.2">
      <c r="A84" s="12"/>
      <c r="B84" s="220"/>
      <c r="C84" s="6" t="s">
        <v>22</v>
      </c>
      <c r="D84" t="s">
        <v>237</v>
      </c>
      <c r="E84">
        <f t="shared" si="2"/>
        <v>0</v>
      </c>
      <c r="F84" t="s">
        <v>10</v>
      </c>
      <c r="G84" s="32" t="str">
        <f t="shared" ref="G84:G87" si="3">B61&amp;" * "&amp;$B$39</f>
        <v>other_PE  * Total_WG</v>
      </c>
      <c r="H84" s="220"/>
      <c r="I84" s="6" t="s">
        <v>22</v>
      </c>
      <c r="J84" t="s">
        <v>257</v>
      </c>
      <c r="K84">
        <v>0</v>
      </c>
      <c r="L84" t="s">
        <v>10</v>
      </c>
      <c r="N84" s="12"/>
    </row>
    <row r="85" spans="1:14" ht="15" customHeight="1" x14ac:dyDescent="0.2">
      <c r="A85" s="12"/>
      <c r="B85" s="220"/>
      <c r="C85" s="6" t="s">
        <v>17</v>
      </c>
      <c r="D85" t="s">
        <v>238</v>
      </c>
      <c r="E85">
        <f t="shared" si="2"/>
        <v>0</v>
      </c>
      <c r="F85" t="s">
        <v>10</v>
      </c>
      <c r="G85" s="32" t="str">
        <f t="shared" si="3"/>
        <v>other_PP  * Total_WG</v>
      </c>
      <c r="H85" s="220"/>
      <c r="I85" s="6" t="s">
        <v>17</v>
      </c>
      <c r="J85" t="s">
        <v>258</v>
      </c>
      <c r="K85">
        <v>0</v>
      </c>
      <c r="L85" t="s">
        <v>10</v>
      </c>
      <c r="N85" s="12"/>
    </row>
    <row r="86" spans="1:14" ht="15" customHeight="1" x14ac:dyDescent="0.2">
      <c r="A86" s="12"/>
      <c r="B86" s="220"/>
      <c r="C86" s="6" t="s">
        <v>18</v>
      </c>
      <c r="D86" t="s">
        <v>239</v>
      </c>
      <c r="E86">
        <f t="shared" si="2"/>
        <v>0</v>
      </c>
      <c r="F86" t="s">
        <v>10</v>
      </c>
      <c r="G86" s="32" t="str">
        <f t="shared" si="3"/>
        <v>other_PS  * Total_WG</v>
      </c>
      <c r="H86" s="220"/>
      <c r="I86" s="6" t="s">
        <v>18</v>
      </c>
      <c r="J86" t="s">
        <v>259</v>
      </c>
      <c r="K86">
        <v>0</v>
      </c>
      <c r="L86" t="s">
        <v>10</v>
      </c>
      <c r="N86" s="12"/>
    </row>
    <row r="87" spans="1:14" ht="15" customHeight="1" x14ac:dyDescent="0.2">
      <c r="A87" s="12"/>
      <c r="B87" s="227"/>
      <c r="C87" s="60" t="s">
        <v>19</v>
      </c>
      <c r="D87" s="44" t="s">
        <v>240</v>
      </c>
      <c r="E87">
        <f t="shared" si="2"/>
        <v>99.999999999999929</v>
      </c>
      <c r="F87" s="44" t="s">
        <v>10</v>
      </c>
      <c r="G87" s="32" t="str">
        <f t="shared" si="3"/>
        <v>other_Oth  * Total_WG</v>
      </c>
      <c r="H87" s="220"/>
      <c r="I87" s="6" t="s">
        <v>19</v>
      </c>
      <c r="J87" t="s">
        <v>260</v>
      </c>
      <c r="K87">
        <v>0</v>
      </c>
      <c r="L87" t="s">
        <v>10</v>
      </c>
      <c r="N87" s="12"/>
    </row>
    <row r="88" spans="1:14" ht="25" customHeight="1" x14ac:dyDescent="0.2">
      <c r="A88" s="12"/>
      <c r="B88" s="214" t="s">
        <v>45</v>
      </c>
      <c r="C88" s="214"/>
      <c r="D88" s="214"/>
      <c r="E88" s="214"/>
      <c r="F88" s="214"/>
      <c r="G88" s="214"/>
      <c r="H88" s="214"/>
      <c r="I88" s="214"/>
      <c r="J88" s="214"/>
      <c r="K88" s="214"/>
      <c r="L88" s="214"/>
      <c r="M88" s="214"/>
      <c r="N88" s="12"/>
    </row>
    <row r="89" spans="1:14" ht="15" customHeight="1" x14ac:dyDescent="0.2">
      <c r="A89" s="12"/>
      <c r="B89" s="53" t="s">
        <v>46</v>
      </c>
      <c r="C89" s="10" t="s">
        <v>3</v>
      </c>
      <c r="D89" s="10" t="s">
        <v>4</v>
      </c>
      <c r="E89" s="53" t="s">
        <v>7</v>
      </c>
      <c r="F89" s="10"/>
      <c r="G89" s="40"/>
      <c r="H89" s="53" t="s">
        <v>49</v>
      </c>
      <c r="I89" s="53" t="s">
        <v>3</v>
      </c>
      <c r="J89" s="53" t="s">
        <v>4</v>
      </c>
      <c r="K89" s="53" t="s">
        <v>7</v>
      </c>
      <c r="L89" s="10"/>
      <c r="M89" s="10"/>
      <c r="N89" s="12"/>
    </row>
    <row r="90" spans="1:14" ht="15" customHeight="1" x14ac:dyDescent="0.2">
      <c r="A90" s="12"/>
      <c r="B90" t="s">
        <v>261</v>
      </c>
      <c r="C90">
        <f>SUM(E68:E72)</f>
        <v>300</v>
      </c>
      <c r="D90" t="s">
        <v>10</v>
      </c>
      <c r="E90" t="s">
        <v>1159</v>
      </c>
      <c r="F90" s="2"/>
      <c r="G90" s="4"/>
      <c r="H90" t="s">
        <v>266</v>
      </c>
      <c r="I90">
        <f>SUM(K68:K72)</f>
        <v>0</v>
      </c>
      <c r="J90" t="s">
        <v>10</v>
      </c>
      <c r="K90" t="s">
        <v>1160</v>
      </c>
      <c r="L90" s="2"/>
      <c r="M90" s="2"/>
      <c r="N90" s="12"/>
    </row>
    <row r="91" spans="1:14" ht="15" customHeight="1" x14ac:dyDescent="0.2">
      <c r="A91" s="12"/>
      <c r="B91" t="s">
        <v>262</v>
      </c>
      <c r="C91">
        <f>SUM(E73:E77)</f>
        <v>200</v>
      </c>
      <c r="D91" t="s">
        <v>10</v>
      </c>
      <c r="E91" t="s">
        <v>1161</v>
      </c>
      <c r="F91" s="2"/>
      <c r="G91" s="4"/>
      <c r="H91" t="s">
        <v>267</v>
      </c>
      <c r="I91">
        <f>SUM(K73:K77)</f>
        <v>0</v>
      </c>
      <c r="J91" t="s">
        <v>10</v>
      </c>
      <c r="K91" t="s">
        <v>1162</v>
      </c>
      <c r="L91" s="2"/>
      <c r="M91" s="2"/>
      <c r="N91" s="12"/>
    </row>
    <row r="92" spans="1:14" ht="15" customHeight="1" x14ac:dyDescent="0.2">
      <c r="A92" s="12"/>
      <c r="B92" t="s">
        <v>263</v>
      </c>
      <c r="C92">
        <f>SUM(E78:E82)</f>
        <v>400</v>
      </c>
      <c r="D92" t="s">
        <v>10</v>
      </c>
      <c r="E92" t="s">
        <v>1163</v>
      </c>
      <c r="F92" s="2"/>
      <c r="G92" s="4"/>
      <c r="H92" t="s">
        <v>268</v>
      </c>
      <c r="I92">
        <f>SUM(K78:K82)</f>
        <v>0</v>
      </c>
      <c r="J92" t="s">
        <v>10</v>
      </c>
      <c r="K92" t="s">
        <v>1164</v>
      </c>
      <c r="L92" s="2"/>
      <c r="M92" s="2"/>
      <c r="N92" s="12"/>
    </row>
    <row r="93" spans="1:14" ht="15" customHeight="1" thickBot="1" x14ac:dyDescent="0.25">
      <c r="A93" s="12"/>
      <c r="B93" s="8" t="s">
        <v>264</v>
      </c>
      <c r="C93" s="8">
        <f>SUM(E83:E87)</f>
        <v>99.999999999999929</v>
      </c>
      <c r="D93" s="8" t="s">
        <v>10</v>
      </c>
      <c r="E93" s="8" t="s">
        <v>1003</v>
      </c>
      <c r="F93" s="8"/>
      <c r="G93" s="87"/>
      <c r="H93" s="8" t="s">
        <v>269</v>
      </c>
      <c r="I93" s="124">
        <f>SUM(K83:K87)</f>
        <v>0</v>
      </c>
      <c r="J93" s="8" t="s">
        <v>10</v>
      </c>
      <c r="K93" s="8" t="s">
        <v>1004</v>
      </c>
      <c r="L93" s="8"/>
      <c r="M93" s="8"/>
      <c r="N93" s="12"/>
    </row>
    <row r="94" spans="1:14" ht="15" customHeight="1" thickTop="1" x14ac:dyDescent="0.2">
      <c r="A94" s="12"/>
      <c r="B94" s="44" t="s">
        <v>265</v>
      </c>
      <c r="C94" s="44">
        <f>SUM(C90:C93)</f>
        <v>999.99999999999989</v>
      </c>
      <c r="D94" s="44" t="s">
        <v>10</v>
      </c>
      <c r="E94" s="44" t="s">
        <v>52</v>
      </c>
      <c r="F94" s="56"/>
      <c r="G94" s="57"/>
      <c r="H94" s="44" t="s">
        <v>270</v>
      </c>
      <c r="I94" s="44">
        <f>SUM(I90:I93)</f>
        <v>0</v>
      </c>
      <c r="J94" s="44" t="s">
        <v>10</v>
      </c>
      <c r="K94" s="44" t="s">
        <v>50</v>
      </c>
      <c r="L94" s="56"/>
      <c r="M94" s="56"/>
      <c r="N94" s="12"/>
    </row>
    <row r="95" spans="1:14" ht="15" customHeight="1" x14ac:dyDescent="0.2">
      <c r="A95" s="12"/>
      <c r="B95" s="125" t="s">
        <v>2704</v>
      </c>
      <c r="C95" s="125" t="str">
        <f>IF(C94=C39,"true")</f>
        <v>true</v>
      </c>
      <c r="D95" s="125"/>
      <c r="E95" s="125"/>
      <c r="F95" s="125"/>
      <c r="G95" s="125"/>
      <c r="H95" s="125"/>
      <c r="I95" s="125"/>
      <c r="J95" s="125"/>
      <c r="K95" s="125"/>
      <c r="L95" s="125"/>
      <c r="M95" s="125"/>
      <c r="N95" s="12"/>
    </row>
    <row r="96" spans="1:14" ht="15" customHeight="1" x14ac:dyDescent="0.2">
      <c r="A96" s="12"/>
      <c r="B96" s="12"/>
      <c r="C96" s="12"/>
      <c r="D96" s="12"/>
      <c r="E96" s="12"/>
      <c r="F96" s="12"/>
      <c r="G96" s="12"/>
      <c r="H96" s="12"/>
      <c r="I96" s="12"/>
      <c r="J96" s="12"/>
      <c r="K96" s="12"/>
      <c r="L96" s="12"/>
      <c r="M96" s="12"/>
      <c r="N96" s="12"/>
    </row>
    <row r="97" spans="1:14" ht="15" customHeight="1" x14ac:dyDescent="0.2">
      <c r="A97" s="12"/>
      <c r="B97" s="12"/>
      <c r="C97" s="12"/>
      <c r="D97" s="12"/>
      <c r="E97" s="12"/>
      <c r="F97" s="12"/>
      <c r="G97" s="12"/>
      <c r="H97" s="12"/>
      <c r="I97" s="12"/>
      <c r="J97" s="12"/>
      <c r="K97" s="12"/>
      <c r="L97" s="12"/>
      <c r="M97" s="12"/>
      <c r="N97" s="12"/>
    </row>
    <row r="98" spans="1:14" ht="15" customHeight="1" x14ac:dyDescent="0.2">
      <c r="A98" s="12"/>
      <c r="B98" s="12"/>
      <c r="C98" s="12"/>
      <c r="D98" s="12"/>
      <c r="E98" s="12"/>
      <c r="F98" s="12"/>
      <c r="G98" s="12"/>
      <c r="H98" s="12"/>
      <c r="I98" s="12"/>
      <c r="J98" s="12"/>
      <c r="K98" s="12"/>
      <c r="L98" s="12"/>
      <c r="M98" s="12"/>
      <c r="N98" s="12"/>
    </row>
    <row r="99" spans="1:14" ht="25" customHeight="1" x14ac:dyDescent="0.2">
      <c r="A99" s="12"/>
      <c r="B99" s="214" t="s">
        <v>51</v>
      </c>
      <c r="C99" s="214"/>
      <c r="D99" s="214"/>
      <c r="E99" s="214"/>
      <c r="F99" s="214"/>
      <c r="G99" s="214"/>
      <c r="H99" s="214"/>
      <c r="I99" s="214"/>
      <c r="J99" s="214"/>
      <c r="K99" s="214"/>
      <c r="L99" s="214"/>
      <c r="M99" s="214"/>
      <c r="N99" s="12"/>
    </row>
    <row r="100" spans="1:14" ht="15" customHeight="1" x14ac:dyDescent="0.2">
      <c r="A100" s="12"/>
      <c r="B100" s="114" t="s">
        <v>2</v>
      </c>
      <c r="C100" s="114" t="s">
        <v>3</v>
      </c>
      <c r="D100" s="114" t="s">
        <v>4</v>
      </c>
      <c r="E100" s="114" t="s">
        <v>5</v>
      </c>
      <c r="F100" s="114" t="s">
        <v>6</v>
      </c>
      <c r="G100" s="114" t="s">
        <v>7</v>
      </c>
      <c r="H100" s="114" t="s">
        <v>112</v>
      </c>
      <c r="I100" s="115"/>
      <c r="J100" s="106"/>
      <c r="K100" s="106"/>
      <c r="L100" s="106"/>
      <c r="M100" s="106"/>
      <c r="N100" s="12"/>
    </row>
    <row r="101" spans="1:14" ht="15" customHeight="1" x14ac:dyDescent="0.2">
      <c r="A101" s="12"/>
      <c r="B101" s="106" t="str">
        <f>'info, structure, parameters'!A127</f>
        <v>TC_bottle_PET_WG_SS</v>
      </c>
      <c r="C101" s="106">
        <f>'info, structure, parameters'!B127</f>
        <v>0.9</v>
      </c>
      <c r="D101" s="106" t="str">
        <f>'info, structure, parameters'!C127</f>
        <v>%ww</v>
      </c>
      <c r="E101" s="106">
        <f>'info, structure, parameters'!D127</f>
        <v>0.57999999999999996</v>
      </c>
      <c r="F101" s="106">
        <f>'info, structure, parameters'!E127</f>
        <v>0.9</v>
      </c>
      <c r="G101" s="106" t="str">
        <f>'info, structure, parameters'!F127</f>
        <v xml:space="preserve">Transfer coefficient of bottle PET from waste generation that is source-separated </v>
      </c>
      <c r="H101" s="106">
        <f>'info, structure, parameters'!G127</f>
        <v>2</v>
      </c>
      <c r="I101" s="115"/>
      <c r="J101" s="106"/>
      <c r="K101" s="106"/>
      <c r="L101" s="106"/>
      <c r="M101" s="106"/>
      <c r="N101" s="12"/>
    </row>
    <row r="102" spans="1:14" ht="15" customHeight="1" x14ac:dyDescent="0.2">
      <c r="A102" s="12"/>
      <c r="B102" s="106" t="str">
        <f>'info, structure, parameters'!A128</f>
        <v>TC_bottle_PE_WG_SS</v>
      </c>
      <c r="C102" s="106">
        <f>'info, structure, parameters'!B128</f>
        <v>0.9</v>
      </c>
      <c r="D102" s="106" t="str">
        <f>'info, structure, parameters'!C128</f>
        <v>%ww</v>
      </c>
      <c r="E102" s="106">
        <f>'info, structure, parameters'!D128</f>
        <v>0.45</v>
      </c>
      <c r="F102" s="106">
        <f>'info, structure, parameters'!E128</f>
        <v>0.9</v>
      </c>
      <c r="G102" s="106" t="str">
        <f>'info, structure, parameters'!F128</f>
        <v xml:space="preserve">Transfer coefficient of bottle PE from waste generation that is source-separated </v>
      </c>
      <c r="H102" s="106">
        <f>'info, structure, parameters'!G128</f>
        <v>2</v>
      </c>
      <c r="I102" s="106"/>
      <c r="J102" s="106"/>
      <c r="K102" s="106"/>
      <c r="L102" s="106"/>
      <c r="M102" s="106"/>
      <c r="N102" s="12"/>
    </row>
    <row r="103" spans="1:14" ht="15" customHeight="1" x14ac:dyDescent="0.2">
      <c r="A103" s="12"/>
      <c r="B103" s="106" t="str">
        <f>'info, structure, parameters'!A129</f>
        <v>TC_bottle_PP_WG_SS</v>
      </c>
      <c r="C103" s="106">
        <f>'info, structure, parameters'!B129</f>
        <v>0.9</v>
      </c>
      <c r="D103" s="106" t="str">
        <f>'info, structure, parameters'!C129</f>
        <v>%ww</v>
      </c>
      <c r="E103" s="106">
        <f>'info, structure, parameters'!D129</f>
        <v>0.45</v>
      </c>
      <c r="F103" s="106">
        <f>'info, structure, parameters'!E129</f>
        <v>0.9</v>
      </c>
      <c r="G103" s="106" t="str">
        <f>'info, structure, parameters'!F129</f>
        <v xml:space="preserve">Transfer coefficient of bottle PP from waste generation that is source-separated </v>
      </c>
      <c r="H103" s="106">
        <f>'info, structure, parameters'!G129</f>
        <v>2</v>
      </c>
      <c r="I103" s="106"/>
      <c r="J103" s="106"/>
      <c r="K103" s="106"/>
      <c r="L103" s="106"/>
      <c r="M103" s="106"/>
      <c r="N103" s="12"/>
    </row>
    <row r="104" spans="1:14" ht="15" customHeight="1" x14ac:dyDescent="0.2">
      <c r="A104" s="12"/>
      <c r="B104" s="106" t="str">
        <f>'info, structure, parameters'!A130</f>
        <v>TC_rigid_PET_WG_SS</v>
      </c>
      <c r="C104" s="106">
        <f>'info, structure, parameters'!B130</f>
        <v>0.9</v>
      </c>
      <c r="D104" s="106" t="str">
        <f>'info, structure, parameters'!C130</f>
        <v>%ww</v>
      </c>
      <c r="E104" s="106">
        <f>'info, structure, parameters'!D130</f>
        <v>0.55000000000000004</v>
      </c>
      <c r="F104" s="106">
        <f>'info, structure, parameters'!E130</f>
        <v>0.9</v>
      </c>
      <c r="G104" s="106" t="str">
        <f>'info, structure, parameters'!F130</f>
        <v xml:space="preserve">Transfer coefficient of rigid PET from waste generation that is source-separated </v>
      </c>
      <c r="H104" s="106">
        <f>'info, structure, parameters'!G130</f>
        <v>2</v>
      </c>
      <c r="I104" s="106"/>
      <c r="J104" s="106"/>
      <c r="K104" s="106"/>
      <c r="L104" s="106"/>
      <c r="M104" s="106"/>
      <c r="N104" s="12"/>
    </row>
    <row r="105" spans="1:14" ht="15" customHeight="1" x14ac:dyDescent="0.2">
      <c r="A105" s="12"/>
      <c r="B105" s="106" t="str">
        <f>'info, structure, parameters'!A131</f>
        <v>TC_rigid_PE_WG_SS</v>
      </c>
      <c r="C105" s="106">
        <f>'info, structure, parameters'!B131</f>
        <v>0.9</v>
      </c>
      <c r="D105" s="106" t="str">
        <f>'info, structure, parameters'!C131</f>
        <v>%ww</v>
      </c>
      <c r="E105" s="106">
        <f>'info, structure, parameters'!D131</f>
        <v>0.21</v>
      </c>
      <c r="F105" s="106">
        <f>'info, structure, parameters'!E131</f>
        <v>0.9</v>
      </c>
      <c r="G105" s="106" t="str">
        <f>'info, structure, parameters'!F131</f>
        <v xml:space="preserve">Transfer coefficient of rigid PE from waste generation that is source-separated </v>
      </c>
      <c r="H105" s="106">
        <f>'info, structure, parameters'!G131</f>
        <v>2</v>
      </c>
      <c r="I105" s="106"/>
      <c r="J105" s="106"/>
      <c r="K105" s="106"/>
      <c r="L105" s="106"/>
      <c r="M105" s="106"/>
      <c r="N105" s="12"/>
    </row>
    <row r="106" spans="1:14" ht="15" customHeight="1" x14ac:dyDescent="0.2">
      <c r="A106" s="12"/>
      <c r="B106" s="106" t="str">
        <f>'info, structure, parameters'!A132</f>
        <v>TC_rigid_PP_WG_SS</v>
      </c>
      <c r="C106" s="106">
        <f>'info, structure, parameters'!B132</f>
        <v>0.9</v>
      </c>
      <c r="D106" s="106" t="str">
        <f>'info, structure, parameters'!C132</f>
        <v>%ww</v>
      </c>
      <c r="E106" s="106">
        <f>'info, structure, parameters'!D132</f>
        <v>0.3</v>
      </c>
      <c r="F106" s="106">
        <f>'info, structure, parameters'!E132</f>
        <v>0.9</v>
      </c>
      <c r="G106" s="106" t="str">
        <f>'info, structure, parameters'!F132</f>
        <v xml:space="preserve">Transfer coefficient of rigid PP from waste generation that is source-separated </v>
      </c>
      <c r="H106" s="121" t="str">
        <f>'info, structure, parameters'!G132</f>
        <v>1, 2</v>
      </c>
      <c r="I106" s="106"/>
      <c r="J106" s="106"/>
      <c r="K106" s="106"/>
      <c r="L106" s="106"/>
      <c r="M106" s="106"/>
      <c r="N106" s="12"/>
    </row>
    <row r="107" spans="1:14" ht="15" customHeight="1" x14ac:dyDescent="0.2">
      <c r="A107" s="12"/>
      <c r="B107" s="106" t="str">
        <f>'info, structure, parameters'!A133</f>
        <v>TC_soft_PET_WG_SS</v>
      </c>
      <c r="C107" s="106">
        <f>'info, structure, parameters'!B133</f>
        <v>0.9</v>
      </c>
      <c r="D107" s="106" t="str">
        <f>'info, structure, parameters'!C133</f>
        <v>%ww</v>
      </c>
      <c r="E107" s="106">
        <f>'info, structure, parameters'!D133</f>
        <v>0.7</v>
      </c>
      <c r="F107" s="106">
        <f>'info, structure, parameters'!E133</f>
        <v>0.9</v>
      </c>
      <c r="G107" s="106" t="str">
        <f>'info, structure, parameters'!F133</f>
        <v xml:space="preserve">Transfer coefficient of soft PET from waste generation that is source-separated </v>
      </c>
      <c r="H107" s="106">
        <f>'info, structure, parameters'!G133</f>
        <v>2</v>
      </c>
      <c r="I107" s="106"/>
      <c r="J107" s="106"/>
      <c r="K107" s="106"/>
      <c r="L107" s="106"/>
      <c r="M107" s="106"/>
      <c r="N107" s="12"/>
    </row>
    <row r="108" spans="1:14" ht="15" customHeight="1" x14ac:dyDescent="0.2">
      <c r="A108" s="12"/>
      <c r="B108" s="106" t="str">
        <f>'info, structure, parameters'!A134</f>
        <v>TC_soft_PE_WG_SS</v>
      </c>
      <c r="C108" s="106">
        <f>'info, structure, parameters'!B134</f>
        <v>0.9</v>
      </c>
      <c r="D108" s="106" t="str">
        <f>'info, structure, parameters'!C134</f>
        <v>%ww</v>
      </c>
      <c r="E108" s="106">
        <f>'info, structure, parameters'!D134</f>
        <v>0.56000000000000005</v>
      </c>
      <c r="F108" s="106">
        <f>'info, structure, parameters'!E134</f>
        <v>0.9</v>
      </c>
      <c r="G108" s="106" t="str">
        <f>'info, structure, parameters'!F134</f>
        <v xml:space="preserve">Transfer coefficient of soft PE from waste generation that is source-separated </v>
      </c>
      <c r="H108" s="106">
        <f>'info, structure, parameters'!G134</f>
        <v>2</v>
      </c>
      <c r="I108" s="106"/>
      <c r="J108" s="106"/>
      <c r="K108" s="106"/>
      <c r="L108" s="106"/>
      <c r="M108" s="106"/>
      <c r="N108" s="12"/>
    </row>
    <row r="109" spans="1:14" ht="15" customHeight="1" x14ac:dyDescent="0.2">
      <c r="A109" s="12"/>
      <c r="B109" s="106" t="str">
        <f>'info, structure, parameters'!A135</f>
        <v>TC_soft_PP_WG_SS</v>
      </c>
      <c r="C109" s="106">
        <f>'info, structure, parameters'!B135</f>
        <v>0.9</v>
      </c>
      <c r="D109" s="106" t="str">
        <f>'info, structure, parameters'!C135</f>
        <v>%ww</v>
      </c>
      <c r="E109" s="106">
        <f>'info, structure, parameters'!D135</f>
        <v>0.7</v>
      </c>
      <c r="F109" s="106">
        <f>'info, structure, parameters'!E135</f>
        <v>0.9</v>
      </c>
      <c r="G109" s="106" t="str">
        <f>'info, structure, parameters'!F135</f>
        <v xml:space="preserve">Transfer coefficient of soft PP from waste generation that is source-separated </v>
      </c>
      <c r="H109" s="106">
        <f>'info, structure, parameters'!G135</f>
        <v>2</v>
      </c>
      <c r="I109" s="106"/>
      <c r="J109" s="106"/>
      <c r="K109" s="106"/>
      <c r="L109" s="106"/>
      <c r="M109" s="106"/>
      <c r="N109" s="12"/>
    </row>
    <row r="110" spans="1:14" ht="25" customHeight="1" x14ac:dyDescent="0.2">
      <c r="A110" s="12"/>
      <c r="B110" s="214" t="s">
        <v>53</v>
      </c>
      <c r="C110" s="214"/>
      <c r="D110" s="214"/>
      <c r="E110" s="214"/>
      <c r="F110" s="214"/>
      <c r="G110" s="214"/>
      <c r="H110" s="214"/>
      <c r="I110" s="214"/>
      <c r="J110" s="214"/>
      <c r="K110" s="214"/>
      <c r="L110" s="214"/>
      <c r="M110" s="214"/>
      <c r="N110" s="12"/>
    </row>
    <row r="111" spans="1:14" ht="25" customHeight="1" x14ac:dyDescent="0.2">
      <c r="A111" s="12"/>
      <c r="B111" s="214" t="s">
        <v>54</v>
      </c>
      <c r="C111" s="214"/>
      <c r="D111" s="214"/>
      <c r="E111" s="214"/>
      <c r="F111" s="214"/>
      <c r="G111" s="223"/>
      <c r="H111" s="214" t="s">
        <v>48</v>
      </c>
      <c r="I111" s="214"/>
      <c r="J111" s="214"/>
      <c r="K111" s="214"/>
      <c r="L111" s="214"/>
      <c r="M111" s="214"/>
      <c r="N111" s="12"/>
    </row>
    <row r="112" spans="1:14" ht="15" customHeight="1" x14ac:dyDescent="0.2">
      <c r="A112" s="12"/>
      <c r="B112" s="2" t="s">
        <v>21</v>
      </c>
      <c r="C112" s="3" t="s">
        <v>20</v>
      </c>
      <c r="D112" s="2" t="s">
        <v>99</v>
      </c>
      <c r="E112" s="2" t="s">
        <v>3</v>
      </c>
      <c r="F112" s="2" t="s">
        <v>4</v>
      </c>
      <c r="G112" s="4" t="s">
        <v>43</v>
      </c>
      <c r="H112" s="2" t="s">
        <v>21</v>
      </c>
      <c r="I112" s="3" t="s">
        <v>20</v>
      </c>
      <c r="J112" s="2" t="str">
        <f>D112</f>
        <v>Name</v>
      </c>
      <c r="K112" s="2" t="s">
        <v>3</v>
      </c>
      <c r="L112" s="2" t="s">
        <v>4</v>
      </c>
      <c r="M112" s="2" t="s">
        <v>43</v>
      </c>
      <c r="N112" s="12"/>
    </row>
    <row r="113" spans="1:14" ht="15" customHeight="1" x14ac:dyDescent="0.2">
      <c r="A113" s="12"/>
      <c r="B113" s="220" t="s">
        <v>14</v>
      </c>
      <c r="C113" s="6" t="str">
        <f t="shared" ref="C113:C132" si="4">C68</f>
        <v>PET</v>
      </c>
      <c r="D113" t="s">
        <v>271</v>
      </c>
      <c r="E113" s="33">
        <f>C101*E68</f>
        <v>207</v>
      </c>
      <c r="F113" t="s">
        <v>10</v>
      </c>
      <c r="G113" s="32" t="str">
        <f>B101&amp;" * "&amp;D68</f>
        <v>TC_bottle_PET_WG_SS * bottle_PET_WG_SS_mass_mechanical</v>
      </c>
      <c r="H113" s="220" t="s">
        <v>14</v>
      </c>
      <c r="I113" s="6" t="str">
        <f>C113</f>
        <v>PET</v>
      </c>
      <c r="J113" t="s">
        <v>290</v>
      </c>
      <c r="K113" s="33">
        <f>E68-E113</f>
        <v>23</v>
      </c>
      <c r="L113" t="s">
        <v>10</v>
      </c>
      <c r="M113" t="str">
        <f>D68&amp;" - "&amp;D113</f>
        <v>bottle_PET_WG_SS_mass_mechanical - bottle_PET_SS_COL_mass_mechanical</v>
      </c>
      <c r="N113" s="12" t="s">
        <v>1005</v>
      </c>
    </row>
    <row r="114" spans="1:14" ht="15" customHeight="1" x14ac:dyDescent="0.2">
      <c r="A114" s="12"/>
      <c r="B114" s="220"/>
      <c r="C114" s="6" t="str">
        <f t="shared" si="4"/>
        <v>PE</v>
      </c>
      <c r="D114" t="s">
        <v>272</v>
      </c>
      <c r="E114" s="33">
        <f>C102*E69</f>
        <v>63</v>
      </c>
      <c r="F114" t="s">
        <v>10</v>
      </c>
      <c r="G114" s="32" t="str">
        <f>B102&amp;" * "&amp;D69</f>
        <v>TC_bottle_PE_WG_SS * bottle_PE_WG_SS_mass_mechanical</v>
      </c>
      <c r="H114" s="220"/>
      <c r="I114" s="6" t="str">
        <f t="shared" ref="I114:I132" si="5">C114</f>
        <v>PE</v>
      </c>
      <c r="J114" t="s">
        <v>291</v>
      </c>
      <c r="K114" s="33">
        <f t="shared" ref="K114:K126" si="6">E69-E114</f>
        <v>7</v>
      </c>
      <c r="L114" t="s">
        <v>10</v>
      </c>
      <c r="M114" t="str">
        <f t="shared" ref="M114:M132" si="7">D69&amp;" - "&amp;D114</f>
        <v>bottle_PE_WG_SS_mass_mechanical - bottle_PE_SS_COL_mass_mechanical</v>
      </c>
      <c r="N114" s="12" t="s">
        <v>1005</v>
      </c>
    </row>
    <row r="115" spans="1:14" ht="15" customHeight="1" x14ac:dyDescent="0.2">
      <c r="A115" s="12"/>
      <c r="B115" s="220"/>
      <c r="C115" s="6" t="str">
        <f t="shared" si="4"/>
        <v>PP</v>
      </c>
      <c r="D115" t="s">
        <v>273</v>
      </c>
      <c r="E115" s="33">
        <f>C103*E70</f>
        <v>0</v>
      </c>
      <c r="F115" t="s">
        <v>10</v>
      </c>
      <c r="G115" s="32" t="str">
        <f>B103&amp;" * "&amp;D70</f>
        <v>TC_bottle_PP_WG_SS * bottle_PP_WG_SS_mass_mechanical</v>
      </c>
      <c r="H115" s="220"/>
      <c r="I115" s="6" t="str">
        <f t="shared" si="5"/>
        <v>PP</v>
      </c>
      <c r="J115" t="s">
        <v>292</v>
      </c>
      <c r="K115" s="33">
        <f t="shared" si="6"/>
        <v>0</v>
      </c>
      <c r="L115" t="s">
        <v>10</v>
      </c>
      <c r="M115" t="str">
        <f t="shared" si="7"/>
        <v>bottle_PP_WG_SS_mass_mechanical - bottle_PP_SS_COL_mass_mechanical</v>
      </c>
      <c r="N115" s="12" t="s">
        <v>1005</v>
      </c>
    </row>
    <row r="116" spans="1:14" ht="15" customHeight="1" x14ac:dyDescent="0.2">
      <c r="A116" s="12"/>
      <c r="B116" s="220"/>
      <c r="C116" s="6" t="str">
        <f t="shared" si="4"/>
        <v>PS</v>
      </c>
      <c r="D116" t="s">
        <v>274</v>
      </c>
      <c r="E116" s="33">
        <f>AVERAGE(C101,C102,C103)*E71</f>
        <v>0</v>
      </c>
      <c r="F116" t="s">
        <v>10</v>
      </c>
      <c r="G116" s="32" t="str">
        <f>"AVERAGE("&amp;B101&amp;"; "&amp;B102&amp;"; "&amp;B103&amp;") * "&amp;D71</f>
        <v>AVERAGE(TC_bottle_PET_WG_SS; TC_bottle_PE_WG_SS; TC_bottle_PP_WG_SS) * bottle_PS_WG_SS_mass_mechanical</v>
      </c>
      <c r="H116" s="220"/>
      <c r="I116" s="6" t="str">
        <f t="shared" si="5"/>
        <v>PS</v>
      </c>
      <c r="J116" t="s">
        <v>293</v>
      </c>
      <c r="K116" s="33">
        <f t="shared" si="6"/>
        <v>0</v>
      </c>
      <c r="L116" t="s">
        <v>10</v>
      </c>
      <c r="M116" t="str">
        <f t="shared" si="7"/>
        <v>bottle_PS_WG_SS_mass_mechanical - bottle_PS_SS_COL_mass_mechanical</v>
      </c>
      <c r="N116" s="12" t="s">
        <v>1005</v>
      </c>
    </row>
    <row r="117" spans="1:14" ht="15" customHeight="1" x14ac:dyDescent="0.2">
      <c r="A117" s="12"/>
      <c r="B117" s="220"/>
      <c r="C117" s="6" t="str">
        <f t="shared" si="4"/>
        <v>Other</v>
      </c>
      <c r="D117" t="s">
        <v>275</v>
      </c>
      <c r="E117" s="33">
        <f>AVERAGE(C101,C102,C103)*E72</f>
        <v>0</v>
      </c>
      <c r="F117" t="s">
        <v>10</v>
      </c>
      <c r="G117" s="32" t="str">
        <f>"AVERAGE("&amp;B101&amp;"; "&amp;B102&amp;"; "&amp;B103&amp;") * "&amp;D72</f>
        <v>AVERAGE(TC_bottle_PET_WG_SS; TC_bottle_PE_WG_SS; TC_bottle_PP_WG_SS) * bottle_Oth_WG_SS_mass_mechanical</v>
      </c>
      <c r="H117" s="220"/>
      <c r="I117" s="6" t="str">
        <f t="shared" si="5"/>
        <v>Other</v>
      </c>
      <c r="J117" t="s">
        <v>294</v>
      </c>
      <c r="K117" s="33">
        <f t="shared" si="6"/>
        <v>0</v>
      </c>
      <c r="L117" t="s">
        <v>10</v>
      </c>
      <c r="M117" t="str">
        <f t="shared" si="7"/>
        <v>bottle_Oth_WG_SS_mass_mechanical - bottle_Oth_SS_COL_mass_mechanical</v>
      </c>
      <c r="N117" s="12" t="s">
        <v>1005</v>
      </c>
    </row>
    <row r="118" spans="1:14" ht="15" customHeight="1" x14ac:dyDescent="0.2">
      <c r="A118" s="12"/>
      <c r="B118" s="220" t="s">
        <v>15</v>
      </c>
      <c r="C118" s="6" t="str">
        <f t="shared" si="4"/>
        <v>PET</v>
      </c>
      <c r="D118" t="s">
        <v>276</v>
      </c>
      <c r="E118" s="33">
        <f>C104*E73</f>
        <v>36</v>
      </c>
      <c r="F118" t="s">
        <v>10</v>
      </c>
      <c r="G118" s="32" t="str">
        <f>B104&amp;" * "&amp;D73</f>
        <v>TC_rigid_PET_WG_SS * rigid_PET_WG_SS_mass_mechanical</v>
      </c>
      <c r="H118" s="220" t="s">
        <v>15</v>
      </c>
      <c r="I118" s="6" t="str">
        <f t="shared" si="5"/>
        <v>PET</v>
      </c>
      <c r="J118" t="s">
        <v>295</v>
      </c>
      <c r="K118" s="33">
        <f t="shared" si="6"/>
        <v>4</v>
      </c>
      <c r="L118" t="s">
        <v>10</v>
      </c>
      <c r="M118" t="str">
        <f t="shared" si="7"/>
        <v>rigid_PET_WG_SS_mass_mechanical - rigid_PET_SS_COL_mass_mechanical</v>
      </c>
      <c r="N118" s="12" t="s">
        <v>1005</v>
      </c>
    </row>
    <row r="119" spans="1:14" ht="15" customHeight="1" x14ac:dyDescent="0.2">
      <c r="A119" s="12"/>
      <c r="B119" s="220"/>
      <c r="C119" s="6" t="str">
        <f t="shared" si="4"/>
        <v>PE</v>
      </c>
      <c r="D119" t="s">
        <v>277</v>
      </c>
      <c r="E119" s="33">
        <f>C105*E74</f>
        <v>27</v>
      </c>
      <c r="F119" t="s">
        <v>10</v>
      </c>
      <c r="G119" s="32" t="str">
        <f>B105&amp;" * "&amp;D74</f>
        <v>TC_rigid_PE_WG_SS * rigid_PE_WG_SS_mass_mechanical</v>
      </c>
      <c r="H119" s="220"/>
      <c r="I119" s="6" t="str">
        <f t="shared" si="5"/>
        <v>PE</v>
      </c>
      <c r="J119" t="s">
        <v>296</v>
      </c>
      <c r="K119" s="33">
        <f t="shared" si="6"/>
        <v>3</v>
      </c>
      <c r="L119" t="s">
        <v>10</v>
      </c>
      <c r="M119" t="str">
        <f t="shared" si="7"/>
        <v>rigid_PE_WG_SS_mass_mechanical - rigid_PE_SS_COL_mass_mechanical</v>
      </c>
      <c r="N119" s="12" t="s">
        <v>1005</v>
      </c>
    </row>
    <row r="120" spans="1:14" ht="15" customHeight="1" x14ac:dyDescent="0.2">
      <c r="A120" s="12"/>
      <c r="B120" s="220"/>
      <c r="C120" s="6" t="str">
        <f t="shared" si="4"/>
        <v>PP</v>
      </c>
      <c r="D120" t="s">
        <v>278</v>
      </c>
      <c r="E120" s="33">
        <f>C106*E75</f>
        <v>63</v>
      </c>
      <c r="F120" t="s">
        <v>10</v>
      </c>
      <c r="G120" s="32" t="str">
        <f>B106&amp;" * "&amp;D75</f>
        <v>TC_rigid_PP_WG_SS * rigid_PP_WG_SS_mass_mechanical</v>
      </c>
      <c r="H120" s="220"/>
      <c r="I120" s="6" t="str">
        <f t="shared" si="5"/>
        <v>PP</v>
      </c>
      <c r="J120" t="s">
        <v>297</v>
      </c>
      <c r="K120" s="33">
        <f t="shared" si="6"/>
        <v>7</v>
      </c>
      <c r="L120" t="s">
        <v>10</v>
      </c>
      <c r="M120" t="str">
        <f t="shared" si="7"/>
        <v>rigid_PP_WG_SS_mass_mechanical - rigid_PP_SS_COL_mass_mechanical</v>
      </c>
      <c r="N120" s="12" t="s">
        <v>1005</v>
      </c>
    </row>
    <row r="121" spans="1:14" ht="15" customHeight="1" x14ac:dyDescent="0.2">
      <c r="A121" s="12"/>
      <c r="B121" s="220"/>
      <c r="C121" s="6" t="str">
        <f t="shared" si="4"/>
        <v>PS</v>
      </c>
      <c r="D121" t="s">
        <v>279</v>
      </c>
      <c r="E121" s="33">
        <f>AVERAGE(C104,C105,C106)*E76</f>
        <v>9</v>
      </c>
      <c r="F121" t="s">
        <v>10</v>
      </c>
      <c r="G121" s="32" t="str">
        <f>"AVERAGE("&amp;B104&amp;"; "&amp;B105&amp;"; "&amp;B106&amp;") * "&amp;D76</f>
        <v>AVERAGE(TC_rigid_PET_WG_SS; TC_rigid_PE_WG_SS; TC_rigid_PP_WG_SS) * rigid_PS_WG_SS_mass_mechanical</v>
      </c>
      <c r="H121" s="220"/>
      <c r="I121" s="6" t="str">
        <f t="shared" si="5"/>
        <v>PS</v>
      </c>
      <c r="J121" t="s">
        <v>298</v>
      </c>
      <c r="K121" s="33">
        <f t="shared" si="6"/>
        <v>1</v>
      </c>
      <c r="L121" t="s">
        <v>10</v>
      </c>
      <c r="M121" t="str">
        <f t="shared" si="7"/>
        <v>rigid_PS_WG_SS_mass_mechanical - rigid_PS_SS_COL_mass_mechanical</v>
      </c>
      <c r="N121" s="12" t="s">
        <v>1005</v>
      </c>
    </row>
    <row r="122" spans="1:14" ht="15" customHeight="1" x14ac:dyDescent="0.2">
      <c r="A122" s="12"/>
      <c r="B122" s="220"/>
      <c r="C122" s="6" t="str">
        <f t="shared" si="4"/>
        <v>Other</v>
      </c>
      <c r="D122" t="s">
        <v>280</v>
      </c>
      <c r="E122" s="33">
        <f>AVERAGE(C104,C105,C106)*E77</f>
        <v>44.999999999999986</v>
      </c>
      <c r="F122" t="s">
        <v>10</v>
      </c>
      <c r="G122" s="32" t="str">
        <f>"AVERAGE("&amp;B104&amp;"; "&amp;B105&amp;"; "&amp;B106&amp;") * "&amp;D77</f>
        <v>AVERAGE(TC_rigid_PET_WG_SS; TC_rigid_PE_WG_SS; TC_rigid_PP_WG_SS) * rigid_Oth_WG_SS_mass_mechanical</v>
      </c>
      <c r="H122" s="220"/>
      <c r="I122" s="6" t="str">
        <f t="shared" si="5"/>
        <v>Other</v>
      </c>
      <c r="J122" t="s">
        <v>299</v>
      </c>
      <c r="K122" s="33">
        <f t="shared" si="6"/>
        <v>5</v>
      </c>
      <c r="L122" t="s">
        <v>10</v>
      </c>
      <c r="M122" t="str">
        <f t="shared" si="7"/>
        <v>rigid_Oth_WG_SS_mass_mechanical - rigid_Oth_SS_COL_mass_mechanical</v>
      </c>
      <c r="N122" s="12" t="s">
        <v>1005</v>
      </c>
    </row>
    <row r="123" spans="1:14" ht="15" customHeight="1" x14ac:dyDescent="0.2">
      <c r="A123" s="12"/>
      <c r="B123" s="220" t="s">
        <v>42</v>
      </c>
      <c r="C123" s="6" t="str">
        <f t="shared" si="4"/>
        <v>PET</v>
      </c>
      <c r="D123" t="s">
        <v>281</v>
      </c>
      <c r="E123" s="33">
        <f>C107*E78</f>
        <v>0</v>
      </c>
      <c r="F123" t="s">
        <v>10</v>
      </c>
      <c r="G123" s="32" t="str">
        <f>B107&amp;" * "&amp;D78</f>
        <v>TC_soft_PET_WG_SS * soft_PET_WG_SS_mass_mechanical</v>
      </c>
      <c r="H123" s="220" t="s">
        <v>42</v>
      </c>
      <c r="I123" s="6" t="str">
        <f t="shared" si="5"/>
        <v>PET</v>
      </c>
      <c r="J123" t="s">
        <v>300</v>
      </c>
      <c r="K123" s="33">
        <f t="shared" si="6"/>
        <v>0</v>
      </c>
      <c r="L123" t="s">
        <v>10</v>
      </c>
      <c r="M123" t="str">
        <f t="shared" si="7"/>
        <v>soft_PET_WG_SS_mass_mechanical - soft_PET_SS_COL_mass_mechanical</v>
      </c>
      <c r="N123" s="12" t="s">
        <v>1005</v>
      </c>
    </row>
    <row r="124" spans="1:14" ht="15" customHeight="1" x14ac:dyDescent="0.2">
      <c r="A124" s="12"/>
      <c r="B124" s="220"/>
      <c r="C124" s="6" t="str">
        <f t="shared" si="4"/>
        <v>PE</v>
      </c>
      <c r="D124" t="s">
        <v>282</v>
      </c>
      <c r="E124" s="33">
        <f>C108*E79</f>
        <v>270</v>
      </c>
      <c r="F124" t="s">
        <v>10</v>
      </c>
      <c r="G124" s="32" t="str">
        <f>B108&amp;" * "&amp;D79</f>
        <v>TC_soft_PE_WG_SS * soft_PE_WG_SS_mass_mechanical</v>
      </c>
      <c r="H124" s="220"/>
      <c r="I124" s="6" t="str">
        <f t="shared" si="5"/>
        <v>PE</v>
      </c>
      <c r="J124" t="s">
        <v>301</v>
      </c>
      <c r="K124" s="33">
        <f t="shared" si="6"/>
        <v>30</v>
      </c>
      <c r="L124" t="s">
        <v>10</v>
      </c>
      <c r="M124" t="str">
        <f t="shared" si="7"/>
        <v>soft_PE_WG_SS_mass_mechanical - soft_PE_SS_COL_mass_mechanical</v>
      </c>
      <c r="N124" s="12" t="s">
        <v>1005</v>
      </c>
    </row>
    <row r="125" spans="1:14" ht="15" customHeight="1" x14ac:dyDescent="0.2">
      <c r="A125" s="12"/>
      <c r="B125" s="220"/>
      <c r="C125" s="6" t="str">
        <f t="shared" si="4"/>
        <v>PP</v>
      </c>
      <c r="D125" t="s">
        <v>283</v>
      </c>
      <c r="E125" s="33">
        <f>C109*E80</f>
        <v>0</v>
      </c>
      <c r="F125" t="s">
        <v>10</v>
      </c>
      <c r="G125" s="32" t="str">
        <f>B109&amp;" * "&amp;D80</f>
        <v>TC_soft_PP_WG_SS * soft_PP_WG_SS_mass_mechanical</v>
      </c>
      <c r="H125" s="220"/>
      <c r="I125" s="6" t="str">
        <f t="shared" si="5"/>
        <v>PP</v>
      </c>
      <c r="J125" t="s">
        <v>302</v>
      </c>
      <c r="K125" s="33">
        <f t="shared" si="6"/>
        <v>0</v>
      </c>
      <c r="L125" t="s">
        <v>10</v>
      </c>
      <c r="M125" t="str">
        <f t="shared" si="7"/>
        <v>soft_PP_WG_SS_mass_mechanical - soft_PP_SS_COL_mass_mechanical</v>
      </c>
      <c r="N125" s="12" t="s">
        <v>1005</v>
      </c>
    </row>
    <row r="126" spans="1:14" ht="15" customHeight="1" x14ac:dyDescent="0.2">
      <c r="A126" s="12"/>
      <c r="B126" s="220"/>
      <c r="C126" s="6" t="str">
        <f t="shared" si="4"/>
        <v>PS</v>
      </c>
      <c r="D126" t="s">
        <v>284</v>
      </c>
      <c r="E126" s="33">
        <f>AVERAGE(C107,C108,C109)*E81</f>
        <v>0</v>
      </c>
      <c r="F126" t="s">
        <v>10</v>
      </c>
      <c r="G126" s="32" t="str">
        <f>"AVERAGE("&amp;B107&amp;"; "&amp;B108&amp;"; "&amp;B109&amp;") * "&amp;D81</f>
        <v>AVERAGE(TC_soft_PET_WG_SS; TC_soft_PE_WG_SS; TC_soft_PP_WG_SS) * soft_PS_WG_SS_mass_mechanical</v>
      </c>
      <c r="H126" s="220"/>
      <c r="I126" s="6" t="str">
        <f t="shared" si="5"/>
        <v>PS</v>
      </c>
      <c r="J126" t="s">
        <v>303</v>
      </c>
      <c r="K126" s="33">
        <f t="shared" si="6"/>
        <v>0</v>
      </c>
      <c r="L126" t="s">
        <v>10</v>
      </c>
      <c r="M126" t="str">
        <f t="shared" si="7"/>
        <v>soft_PS_WG_SS_mass_mechanical - soft_PS_SS_COL_mass_mechanical</v>
      </c>
      <c r="N126" s="12" t="s">
        <v>1005</v>
      </c>
    </row>
    <row r="127" spans="1:14" ht="15" customHeight="1" x14ac:dyDescent="0.2">
      <c r="A127" s="12"/>
      <c r="B127" s="220"/>
      <c r="C127" s="6" t="str">
        <f t="shared" si="4"/>
        <v>Other</v>
      </c>
      <c r="D127" t="s">
        <v>285</v>
      </c>
      <c r="E127" s="33">
        <f>AVERAGE(C107,C108,C109)*E82</f>
        <v>90.000000000000028</v>
      </c>
      <c r="F127" t="s">
        <v>10</v>
      </c>
      <c r="G127" s="32" t="str">
        <f>"AVERAGE("&amp;B107&amp;"; "&amp;B108&amp;"; "&amp;B109&amp;") * "&amp;D82</f>
        <v>AVERAGE(TC_soft_PET_WG_SS; TC_soft_PE_WG_SS; TC_soft_PP_WG_SS) * soft_Oth_WG_SS_mass_mechanical</v>
      </c>
      <c r="H127" s="220"/>
      <c r="I127" s="6" t="str">
        <f t="shared" si="5"/>
        <v>Other</v>
      </c>
      <c r="J127" t="s">
        <v>304</v>
      </c>
      <c r="K127" s="33">
        <f>E82-E127</f>
        <v>10</v>
      </c>
      <c r="L127" t="s">
        <v>10</v>
      </c>
      <c r="M127" t="str">
        <f t="shared" si="7"/>
        <v>soft_Oth_WG_SS_mass_mechanical - soft_Oth_SS_COL_mass_mechanical</v>
      </c>
      <c r="N127" s="12" t="s">
        <v>1005</v>
      </c>
    </row>
    <row r="128" spans="1:14" ht="15" customHeight="1" x14ac:dyDescent="0.2">
      <c r="A128" s="12"/>
      <c r="B128" s="220" t="s">
        <v>19</v>
      </c>
      <c r="C128" s="6" t="str">
        <f t="shared" si="4"/>
        <v>PET</v>
      </c>
      <c r="D128" t="s">
        <v>2694</v>
      </c>
      <c r="E128" s="33">
        <v>0</v>
      </c>
      <c r="F128" t="s">
        <v>10</v>
      </c>
      <c r="G128" s="32" t="s">
        <v>168</v>
      </c>
      <c r="H128" s="228" t="s">
        <v>19</v>
      </c>
      <c r="I128" s="6" t="str">
        <f t="shared" si="5"/>
        <v>PET</v>
      </c>
      <c r="J128" t="s">
        <v>2699</v>
      </c>
      <c r="K128" s="33">
        <f t="shared" ref="K128:K132" si="8">E83-E128</f>
        <v>0</v>
      </c>
      <c r="L128" t="s">
        <v>10</v>
      </c>
      <c r="M128" t="str">
        <f t="shared" si="7"/>
        <v>other_PET_WG_SS_mass_mechanical - other_PET_SS_COL_mass_mechanical</v>
      </c>
      <c r="N128" s="12"/>
    </row>
    <row r="129" spans="1:14" ht="15" customHeight="1" x14ac:dyDescent="0.2">
      <c r="A129" s="12"/>
      <c r="B129" s="220"/>
      <c r="C129" s="6" t="str">
        <f t="shared" si="4"/>
        <v>PE</v>
      </c>
      <c r="D129" t="s">
        <v>2695</v>
      </c>
      <c r="E129" s="33">
        <v>0</v>
      </c>
      <c r="F129" t="s">
        <v>10</v>
      </c>
      <c r="G129" s="32" t="s">
        <v>168</v>
      </c>
      <c r="H129" s="228"/>
      <c r="I129" s="6" t="str">
        <f t="shared" si="5"/>
        <v>PE</v>
      </c>
      <c r="J129" t="s">
        <v>2700</v>
      </c>
      <c r="K129" s="33">
        <f t="shared" si="8"/>
        <v>0</v>
      </c>
      <c r="L129" t="s">
        <v>10</v>
      </c>
      <c r="M129" t="str">
        <f t="shared" si="7"/>
        <v>other_PE_WG_SS_mass_mechanical - other_PE_SS_COL_mass_mechanical</v>
      </c>
      <c r="N129" s="12"/>
    </row>
    <row r="130" spans="1:14" ht="15" customHeight="1" x14ac:dyDescent="0.2">
      <c r="A130" s="12"/>
      <c r="B130" s="220"/>
      <c r="C130" s="6" t="str">
        <f t="shared" si="4"/>
        <v>PP</v>
      </c>
      <c r="D130" t="s">
        <v>2696</v>
      </c>
      <c r="E130" s="33">
        <v>0</v>
      </c>
      <c r="F130" t="s">
        <v>10</v>
      </c>
      <c r="G130" s="32" t="s">
        <v>168</v>
      </c>
      <c r="H130" s="228"/>
      <c r="I130" s="6" t="str">
        <f t="shared" si="5"/>
        <v>PP</v>
      </c>
      <c r="J130" t="s">
        <v>2701</v>
      </c>
      <c r="K130" s="33">
        <f t="shared" si="8"/>
        <v>0</v>
      </c>
      <c r="L130" t="s">
        <v>10</v>
      </c>
      <c r="M130" t="str">
        <f t="shared" si="7"/>
        <v>other_PP_WG_SS_mass_mechanical - other_PP_SS_COL_mass_mechanical</v>
      </c>
      <c r="N130" s="12"/>
    </row>
    <row r="131" spans="1:14" ht="15" customHeight="1" x14ac:dyDescent="0.2">
      <c r="A131" s="12"/>
      <c r="B131" s="220"/>
      <c r="C131" s="6" t="str">
        <f t="shared" si="4"/>
        <v>PS</v>
      </c>
      <c r="D131" t="s">
        <v>2697</v>
      </c>
      <c r="E131" s="33">
        <v>0</v>
      </c>
      <c r="F131" t="s">
        <v>10</v>
      </c>
      <c r="G131" s="32" t="s">
        <v>168</v>
      </c>
      <c r="H131" s="228"/>
      <c r="I131" s="6" t="str">
        <f t="shared" si="5"/>
        <v>PS</v>
      </c>
      <c r="J131" t="s">
        <v>2702</v>
      </c>
      <c r="K131" s="33">
        <f t="shared" si="8"/>
        <v>0</v>
      </c>
      <c r="L131" t="s">
        <v>10</v>
      </c>
      <c r="M131" t="str">
        <f t="shared" si="7"/>
        <v>other_PS_WG_SS_mass_mechanical - other_PS_SS_COL_mass_mechanical</v>
      </c>
      <c r="N131" s="12"/>
    </row>
    <row r="132" spans="1:14" ht="15" customHeight="1" x14ac:dyDescent="0.2">
      <c r="A132" s="12"/>
      <c r="B132" s="227"/>
      <c r="C132" s="60" t="str">
        <f t="shared" si="4"/>
        <v>Other</v>
      </c>
      <c r="D132" s="44" t="s">
        <v>2698</v>
      </c>
      <c r="E132" s="62">
        <v>0</v>
      </c>
      <c r="F132" s="44" t="s">
        <v>10</v>
      </c>
      <c r="G132" s="61" t="s">
        <v>168</v>
      </c>
      <c r="H132" s="229"/>
      <c r="I132" s="60" t="str">
        <f t="shared" si="5"/>
        <v>Other</v>
      </c>
      <c r="J132" t="s">
        <v>2703</v>
      </c>
      <c r="K132" s="33">
        <f t="shared" si="8"/>
        <v>99.999999999999929</v>
      </c>
      <c r="L132" s="44" t="s">
        <v>10</v>
      </c>
      <c r="M132" t="str">
        <f t="shared" si="7"/>
        <v>other_Oth_WG_SS_mass_mechanical - other_Oth_SS_COL_mass_mechanical</v>
      </c>
      <c r="N132" s="12"/>
    </row>
    <row r="133" spans="1:14" ht="25" customHeight="1" x14ac:dyDescent="0.2">
      <c r="A133" s="12"/>
      <c r="B133" s="226" t="s">
        <v>55</v>
      </c>
      <c r="C133" s="226"/>
      <c r="D133" s="226"/>
      <c r="E133" s="226"/>
      <c r="F133" s="226"/>
      <c r="G133" s="226"/>
      <c r="H133" s="214"/>
      <c r="I133" s="214"/>
      <c r="J133" s="214"/>
      <c r="K133" s="214"/>
      <c r="L133" s="214"/>
      <c r="M133" s="214"/>
      <c r="N133" s="12"/>
    </row>
    <row r="134" spans="1:14" ht="15" customHeight="1" x14ac:dyDescent="0.2">
      <c r="A134" s="12"/>
      <c r="B134" s="2" t="s">
        <v>49</v>
      </c>
      <c r="C134" s="2" t="s">
        <v>3</v>
      </c>
      <c r="D134" s="2" t="s">
        <v>4</v>
      </c>
      <c r="E134" s="2" t="s">
        <v>7</v>
      </c>
      <c r="F134" s="2"/>
      <c r="G134" s="1"/>
      <c r="H134" s="2" t="str">
        <f>B134</f>
        <v>Parameter</v>
      </c>
      <c r="I134" s="2" t="str">
        <f t="shared" ref="I134:K134" si="9">C134</f>
        <v>Value</v>
      </c>
      <c r="J134" s="2" t="str">
        <f t="shared" si="9"/>
        <v>Unit</v>
      </c>
      <c r="K134" s="54" t="str">
        <f t="shared" si="9"/>
        <v>Description</v>
      </c>
      <c r="L134" s="54"/>
      <c r="M134" s="54"/>
      <c r="N134" s="12"/>
    </row>
    <row r="135" spans="1:14" ht="15" customHeight="1" x14ac:dyDescent="0.2">
      <c r="A135" s="12"/>
      <c r="B135" t="s">
        <v>286</v>
      </c>
      <c r="C135" s="33">
        <f>SUM(E113:E117)</f>
        <v>270</v>
      </c>
      <c r="D135" t="s">
        <v>10</v>
      </c>
      <c r="E135" t="s">
        <v>1165</v>
      </c>
      <c r="G135" s="32"/>
      <c r="H135" t="s">
        <v>305</v>
      </c>
      <c r="I135" s="33">
        <f>SUM(K113:K117)</f>
        <v>30</v>
      </c>
      <c r="J135" t="s">
        <v>10</v>
      </c>
      <c r="K135" t="s">
        <v>1166</v>
      </c>
      <c r="N135" s="12"/>
    </row>
    <row r="136" spans="1:14" ht="15" customHeight="1" x14ac:dyDescent="0.2">
      <c r="A136" s="12"/>
      <c r="B136" t="s">
        <v>287</v>
      </c>
      <c r="C136" s="33">
        <f>SUM(E118:E122)</f>
        <v>180</v>
      </c>
      <c r="D136" t="s">
        <v>10</v>
      </c>
      <c r="E136" t="s">
        <v>1167</v>
      </c>
      <c r="G136" s="32"/>
      <c r="H136" t="s">
        <v>306</v>
      </c>
      <c r="I136" s="33">
        <f>SUM(K118:K122)</f>
        <v>20</v>
      </c>
      <c r="J136" t="s">
        <v>10</v>
      </c>
      <c r="K136" t="s">
        <v>1168</v>
      </c>
      <c r="N136" s="12"/>
    </row>
    <row r="137" spans="1:14" ht="15" customHeight="1" x14ac:dyDescent="0.2">
      <c r="A137" s="12"/>
      <c r="B137" t="s">
        <v>288</v>
      </c>
      <c r="C137" s="33">
        <f>SUM(E123:E127)</f>
        <v>360</v>
      </c>
      <c r="D137" t="s">
        <v>10</v>
      </c>
      <c r="E137" t="s">
        <v>1169</v>
      </c>
      <c r="G137" s="32"/>
      <c r="H137" t="s">
        <v>307</v>
      </c>
      <c r="I137" s="33">
        <f>SUM(K123:K127)</f>
        <v>40</v>
      </c>
      <c r="J137" t="s">
        <v>10</v>
      </c>
      <c r="K137" t="s">
        <v>1170</v>
      </c>
      <c r="N137" s="12"/>
    </row>
    <row r="138" spans="1:14" ht="15" customHeight="1" thickBot="1" x14ac:dyDescent="0.25">
      <c r="A138" s="12"/>
      <c r="B138" s="8" t="s">
        <v>2705</v>
      </c>
      <c r="C138" s="34">
        <f>SUM(E128:E132)</f>
        <v>0</v>
      </c>
      <c r="D138" s="8" t="s">
        <v>10</v>
      </c>
      <c r="E138" s="8" t="s">
        <v>2706</v>
      </c>
      <c r="F138" s="8"/>
      <c r="G138" s="87"/>
      <c r="H138" s="8" t="s">
        <v>2707</v>
      </c>
      <c r="I138" s="34">
        <f>SUM(K128:K132)</f>
        <v>99.999999999999929</v>
      </c>
      <c r="J138" s="8" t="s">
        <v>10</v>
      </c>
      <c r="K138" s="8" t="s">
        <v>2708</v>
      </c>
      <c r="L138" s="8"/>
      <c r="M138" s="8"/>
      <c r="N138" s="12"/>
    </row>
    <row r="139" spans="1:14" ht="15" customHeight="1" thickTop="1" x14ac:dyDescent="0.2">
      <c r="A139" s="12"/>
      <c r="B139" s="44" t="s">
        <v>289</v>
      </c>
      <c r="C139" s="63">
        <f>SUM(C135:C138)</f>
        <v>810</v>
      </c>
      <c r="D139" s="44" t="s">
        <v>10</v>
      </c>
      <c r="E139" s="44" t="s">
        <v>1171</v>
      </c>
      <c r="F139" s="44"/>
      <c r="G139" s="61"/>
      <c r="H139" s="44" t="s">
        <v>308</v>
      </c>
      <c r="I139" s="63">
        <f>SUM(I135:I138)</f>
        <v>189.99999999999994</v>
      </c>
      <c r="J139" s="44" t="s">
        <v>10</v>
      </c>
      <c r="K139" s="44" t="s">
        <v>1172</v>
      </c>
      <c r="L139" s="44"/>
      <c r="M139" s="44"/>
      <c r="N139" s="12"/>
    </row>
    <row r="140" spans="1:14" ht="15" customHeight="1" x14ac:dyDescent="0.2">
      <c r="A140" s="12"/>
      <c r="B140" s="125" t="str">
        <f>B95</f>
        <v>Check</v>
      </c>
      <c r="C140" s="125" t="str">
        <f>IF(C139+I139=C94,"true")</f>
        <v>true</v>
      </c>
      <c r="D140" s="125"/>
      <c r="E140" s="125"/>
      <c r="F140" s="125"/>
      <c r="G140" s="125"/>
      <c r="H140" s="125"/>
      <c r="I140" s="125"/>
      <c r="J140" s="125"/>
      <c r="K140" s="125"/>
      <c r="L140" s="125"/>
      <c r="M140" s="125"/>
      <c r="N140" s="12"/>
    </row>
    <row r="141" spans="1:14" ht="15" customHeight="1" x14ac:dyDescent="0.2">
      <c r="A141" s="12"/>
      <c r="B141" s="12"/>
      <c r="C141" s="102"/>
      <c r="D141" s="12"/>
      <c r="E141" s="12"/>
      <c r="F141" s="12"/>
      <c r="G141" s="12"/>
      <c r="H141" s="12"/>
      <c r="I141" s="12"/>
      <c r="J141" s="12"/>
      <c r="K141" s="12"/>
      <c r="L141" s="12"/>
      <c r="M141" s="12"/>
      <c r="N141" s="12"/>
    </row>
    <row r="142" spans="1:14" ht="15" customHeight="1" x14ac:dyDescent="0.2">
      <c r="A142" s="12"/>
      <c r="B142" s="12"/>
      <c r="C142" s="12"/>
      <c r="D142" s="12"/>
      <c r="E142" s="12"/>
      <c r="F142" s="12"/>
      <c r="G142" s="12"/>
      <c r="H142" s="12"/>
      <c r="I142" s="12"/>
      <c r="J142" s="12"/>
      <c r="K142" s="12"/>
      <c r="L142" s="12"/>
      <c r="M142" s="12"/>
      <c r="N142" s="12"/>
    </row>
    <row r="143" spans="1:14" ht="15" customHeight="1" x14ac:dyDescent="0.2">
      <c r="A143" s="12"/>
      <c r="B143" s="12"/>
      <c r="C143" s="12"/>
      <c r="D143" s="12"/>
      <c r="E143" s="12"/>
      <c r="F143" s="12"/>
      <c r="G143" s="12"/>
      <c r="H143" s="12"/>
      <c r="I143" s="12"/>
      <c r="J143" s="12"/>
      <c r="K143" s="12"/>
      <c r="L143" s="12"/>
      <c r="M143" s="12"/>
      <c r="N143" s="12"/>
    </row>
    <row r="144" spans="1:14" ht="25" customHeight="1" x14ac:dyDescent="0.2">
      <c r="A144" s="12"/>
      <c r="B144" s="214" t="s">
        <v>56</v>
      </c>
      <c r="C144" s="214"/>
      <c r="D144" s="214"/>
      <c r="E144" s="214"/>
      <c r="F144" s="214"/>
      <c r="G144" s="214"/>
      <c r="H144" s="214"/>
      <c r="I144" s="214"/>
      <c r="J144" s="214"/>
      <c r="K144" s="214"/>
      <c r="L144" s="214"/>
      <c r="M144" s="214"/>
      <c r="N144" s="12"/>
    </row>
    <row r="145" spans="1:14" ht="15" customHeight="1" x14ac:dyDescent="0.2">
      <c r="A145" s="12"/>
      <c r="B145" s="114" t="str">
        <f t="shared" ref="B145:G145" si="10">B100</f>
        <v>Parameters</v>
      </c>
      <c r="C145" s="114" t="str">
        <f t="shared" si="10"/>
        <v>Value</v>
      </c>
      <c r="D145" s="114" t="str">
        <f t="shared" si="10"/>
        <v>Unit</v>
      </c>
      <c r="E145" s="114" t="str">
        <f t="shared" si="10"/>
        <v>Min</v>
      </c>
      <c r="F145" s="114" t="str">
        <f t="shared" si="10"/>
        <v>Max</v>
      </c>
      <c r="G145" s="114" t="str">
        <f t="shared" si="10"/>
        <v>Description</v>
      </c>
      <c r="H145" s="114" t="s">
        <v>112</v>
      </c>
      <c r="I145" s="106"/>
      <c r="J145" s="106"/>
      <c r="K145" s="106"/>
      <c r="L145" s="106"/>
      <c r="M145" s="106"/>
      <c r="N145" s="12"/>
    </row>
    <row r="146" spans="1:14" ht="15" customHeight="1" x14ac:dyDescent="0.2">
      <c r="A146" s="12"/>
      <c r="B146" s="106" t="str">
        <f>'info, structure, parameters'!A139</f>
        <v>TC_bottle_PET_SS_COL</v>
      </c>
      <c r="C146" s="106">
        <f>'info, structure, parameters'!B139</f>
        <v>0.71</v>
      </c>
      <c r="D146" s="106" t="str">
        <f>'info, structure, parameters'!C139</f>
        <v>%ww</v>
      </c>
      <c r="E146" s="106"/>
      <c r="F146" s="106"/>
      <c r="G146" s="106" t="str">
        <f>'info, structure, parameters'!F139</f>
        <v>Transfer coefficient of source-separated bottle PET that is collected</v>
      </c>
      <c r="H146" s="106">
        <f>'info, structure, parameters'!G139</f>
        <v>2</v>
      </c>
      <c r="I146" s="106"/>
      <c r="J146" s="106"/>
      <c r="K146" s="106"/>
      <c r="L146" s="106"/>
      <c r="M146" s="106"/>
      <c r="N146" s="12"/>
    </row>
    <row r="147" spans="1:14" ht="15" customHeight="1" x14ac:dyDescent="0.2">
      <c r="A147" s="12"/>
      <c r="B147" s="106" t="str">
        <f>'info, structure, parameters'!A140</f>
        <v>TC_bottle_PE_SS_COL</v>
      </c>
      <c r="C147" s="106">
        <f>'info, structure, parameters'!B140</f>
        <v>0.62</v>
      </c>
      <c r="D147" s="106" t="str">
        <f>'info, structure, parameters'!C140</f>
        <v>%ww</v>
      </c>
      <c r="E147" s="106"/>
      <c r="F147" s="106"/>
      <c r="G147" s="106" t="str">
        <f>'info, structure, parameters'!F140</f>
        <v>Transfer coefficient of source-separated bottle PE that is collected</v>
      </c>
      <c r="H147" s="106">
        <f>'info, structure, parameters'!G140</f>
        <v>2</v>
      </c>
      <c r="I147" s="106"/>
      <c r="J147" s="106"/>
      <c r="K147" s="106"/>
      <c r="L147" s="106"/>
      <c r="M147" s="106"/>
      <c r="N147" s="12"/>
    </row>
    <row r="148" spans="1:14" ht="15" customHeight="1" x14ac:dyDescent="0.2">
      <c r="A148" s="12"/>
      <c r="B148" s="106" t="str">
        <f>'info, structure, parameters'!A141</f>
        <v>TC_bottle_PP_SS_COL</v>
      </c>
      <c r="C148" s="106">
        <f>'info, structure, parameters'!B141</f>
        <v>1</v>
      </c>
      <c r="D148" s="106" t="str">
        <f>'info, structure, parameters'!C141</f>
        <v>%ww</v>
      </c>
      <c r="E148" s="106"/>
      <c r="F148" s="106"/>
      <c r="G148" s="106" t="str">
        <f>'info, structure, parameters'!F141</f>
        <v>Transfer coefficient of source-separated bottle PP that is collected</v>
      </c>
      <c r="H148" s="106">
        <f>'info, structure, parameters'!G141</f>
        <v>2</v>
      </c>
      <c r="I148" s="106"/>
      <c r="J148" s="106"/>
      <c r="K148" s="106"/>
      <c r="L148" s="106"/>
      <c r="M148" s="106"/>
      <c r="N148" s="12"/>
    </row>
    <row r="149" spans="1:14" ht="15" customHeight="1" x14ac:dyDescent="0.2">
      <c r="A149" s="12"/>
      <c r="B149" s="106" t="str">
        <f>'info, structure, parameters'!A142</f>
        <v>TC_rigid_PET_SS_COL</v>
      </c>
      <c r="C149" s="106">
        <f>'info, structure, parameters'!B142</f>
        <v>0.71</v>
      </c>
      <c r="D149" s="106" t="str">
        <f>'info, structure, parameters'!C142</f>
        <v>%ww</v>
      </c>
      <c r="E149" s="106"/>
      <c r="F149" s="106"/>
      <c r="G149" s="106" t="str">
        <f>'info, structure, parameters'!F142</f>
        <v>Transfer coefficient of source-separated rigid PET that is collected</v>
      </c>
      <c r="H149" s="106">
        <f>'info, structure, parameters'!G142</f>
        <v>2</v>
      </c>
      <c r="I149" s="106"/>
      <c r="J149" s="106"/>
      <c r="K149" s="106"/>
      <c r="L149" s="106"/>
      <c r="M149" s="106"/>
      <c r="N149" s="12"/>
    </row>
    <row r="150" spans="1:14" ht="15" customHeight="1" x14ac:dyDescent="0.2">
      <c r="A150" s="12"/>
      <c r="B150" s="106" t="str">
        <f>'info, structure, parameters'!A143</f>
        <v>TC_rigid_PE_SS_COL</v>
      </c>
      <c r="C150" s="106">
        <f>'info, structure, parameters'!B143</f>
        <v>0.62</v>
      </c>
      <c r="D150" s="106" t="str">
        <f>'info, structure, parameters'!C143</f>
        <v>%ww</v>
      </c>
      <c r="E150" s="106"/>
      <c r="F150" s="106"/>
      <c r="G150" s="106" t="str">
        <f>'info, structure, parameters'!F143</f>
        <v>Transfer coefficient of source-separated rigid PE that is collected</v>
      </c>
      <c r="H150" s="106">
        <f>'info, structure, parameters'!G143</f>
        <v>2</v>
      </c>
      <c r="I150" s="106"/>
      <c r="J150" s="106"/>
      <c r="K150" s="106"/>
      <c r="L150" s="106"/>
      <c r="M150" s="106"/>
      <c r="N150" s="12"/>
    </row>
    <row r="151" spans="1:14" ht="15" customHeight="1" x14ac:dyDescent="0.2">
      <c r="A151" s="12"/>
      <c r="B151" s="106" t="str">
        <f>'info, structure, parameters'!A144</f>
        <v>TC_rigid_PP_SS_COL</v>
      </c>
      <c r="C151" s="106">
        <f>'info, structure, parameters'!B144</f>
        <v>0.84</v>
      </c>
      <c r="D151" s="106" t="str">
        <f>'info, structure, parameters'!C144</f>
        <v>%ww</v>
      </c>
      <c r="E151" s="106"/>
      <c r="F151" s="106"/>
      <c r="G151" s="106" t="str">
        <f>'info, structure, parameters'!F144</f>
        <v>Transfer coefficient of source-separated rigid PP that is collected</v>
      </c>
      <c r="H151" s="106">
        <f>'info, structure, parameters'!G144</f>
        <v>2</v>
      </c>
      <c r="I151" s="106"/>
      <c r="J151" s="106"/>
      <c r="K151" s="106"/>
      <c r="L151" s="106"/>
      <c r="M151" s="106"/>
      <c r="N151" s="12"/>
    </row>
    <row r="152" spans="1:14" ht="15" customHeight="1" x14ac:dyDescent="0.2">
      <c r="A152" s="12"/>
      <c r="B152" s="106" t="str">
        <f>'info, structure, parameters'!A145</f>
        <v>TC_soft_PET_SS_COL</v>
      </c>
      <c r="C152" s="106">
        <f>'info, structure, parameters'!B145</f>
        <v>0.71</v>
      </c>
      <c r="D152" s="106" t="str">
        <f>'info, structure, parameters'!C145</f>
        <v>%ww</v>
      </c>
      <c r="E152" s="106"/>
      <c r="F152" s="106"/>
      <c r="G152" s="106" t="str">
        <f>'info, structure, parameters'!F145</f>
        <v>Transfer coefficient of source-separated soft PET that is collected</v>
      </c>
      <c r="H152" s="106">
        <f>'info, structure, parameters'!G145</f>
        <v>2</v>
      </c>
      <c r="I152" s="106"/>
      <c r="J152" s="106"/>
      <c r="K152" s="106"/>
      <c r="L152" s="106"/>
      <c r="M152" s="106"/>
      <c r="N152" s="12"/>
    </row>
    <row r="153" spans="1:14" ht="15" customHeight="1" x14ac:dyDescent="0.2">
      <c r="A153" s="12"/>
      <c r="B153" s="106" t="str">
        <f>'info, structure, parameters'!A146</f>
        <v>TC_soft_PE_SS_COL</v>
      </c>
      <c r="C153" s="106">
        <f>'info, structure, parameters'!B146</f>
        <v>0.62</v>
      </c>
      <c r="D153" s="106" t="str">
        <f>'info, structure, parameters'!C146</f>
        <v>%ww</v>
      </c>
      <c r="E153" s="106"/>
      <c r="F153" s="106"/>
      <c r="G153" s="106" t="str">
        <f>'info, structure, parameters'!F146</f>
        <v>Transfer coefficient of source-separated soft PE that is collected</v>
      </c>
      <c r="H153" s="106">
        <f>'info, structure, parameters'!G146</f>
        <v>2</v>
      </c>
      <c r="I153" s="106"/>
      <c r="J153" s="106"/>
      <c r="K153" s="106"/>
      <c r="L153" s="106"/>
      <c r="M153" s="106"/>
      <c r="N153" s="12"/>
    </row>
    <row r="154" spans="1:14" ht="15" customHeight="1" x14ac:dyDescent="0.2">
      <c r="A154" s="12"/>
      <c r="B154" s="106" t="str">
        <f>'info, structure, parameters'!A147</f>
        <v>TC_soft_PP_SS_COL</v>
      </c>
      <c r="C154" s="106">
        <f>'info, structure, parameters'!B147</f>
        <v>0.84</v>
      </c>
      <c r="D154" s="106" t="str">
        <f>'info, structure, parameters'!C147</f>
        <v>%ww</v>
      </c>
      <c r="E154" s="106"/>
      <c r="F154" s="106"/>
      <c r="G154" s="106" t="str">
        <f>'info, structure, parameters'!F147</f>
        <v>Transfer coefficient of source-separated soft PP that is collected</v>
      </c>
      <c r="H154" s="106">
        <f>'info, structure, parameters'!G147</f>
        <v>2</v>
      </c>
      <c r="I154" s="106"/>
      <c r="J154" s="106"/>
      <c r="K154" s="106"/>
      <c r="L154" s="106"/>
      <c r="M154" s="106"/>
      <c r="N154" s="12"/>
    </row>
    <row r="155" spans="1:14" ht="25" customHeight="1" x14ac:dyDescent="0.2">
      <c r="A155" s="12"/>
      <c r="B155" s="214" t="s">
        <v>57</v>
      </c>
      <c r="C155" s="234"/>
      <c r="D155" s="234"/>
      <c r="E155" s="234"/>
      <c r="F155" s="234"/>
      <c r="G155" s="234"/>
      <c r="H155" s="234"/>
      <c r="I155" s="234"/>
      <c r="J155" s="234"/>
      <c r="K155" s="234"/>
      <c r="L155" s="234"/>
      <c r="M155" s="234"/>
      <c r="N155" s="12"/>
    </row>
    <row r="156" spans="1:14" ht="25" customHeight="1" x14ac:dyDescent="0.2">
      <c r="A156" s="12"/>
      <c r="B156" s="214" t="s">
        <v>58</v>
      </c>
      <c r="C156" s="214"/>
      <c r="D156" s="214"/>
      <c r="E156" s="214"/>
      <c r="F156" s="214"/>
      <c r="G156" s="223"/>
      <c r="H156" s="226" t="s">
        <v>154</v>
      </c>
      <c r="I156" s="226"/>
      <c r="J156" s="226"/>
      <c r="K156" s="226"/>
      <c r="L156" s="226"/>
      <c r="M156" s="226"/>
      <c r="N156" s="12"/>
    </row>
    <row r="157" spans="1:14" ht="15" customHeight="1" x14ac:dyDescent="0.2">
      <c r="A157" s="12"/>
      <c r="B157" s="2" t="str">
        <f>B112</f>
        <v>Fraction</v>
      </c>
      <c r="C157" s="2" t="str">
        <f>C112</f>
        <v>Sub-fraction</v>
      </c>
      <c r="D157" s="2" t="s">
        <v>99</v>
      </c>
      <c r="E157" s="2" t="str">
        <f>E112</f>
        <v>Value</v>
      </c>
      <c r="F157" s="2" t="str">
        <f>F112</f>
        <v>Unit</v>
      </c>
      <c r="G157" s="4" t="str">
        <f>G112</f>
        <v>Equation</v>
      </c>
      <c r="H157" s="2" t="str">
        <f>H112</f>
        <v>Fraction</v>
      </c>
      <c r="I157" s="2" t="str">
        <f>I112</f>
        <v>Sub-fraction</v>
      </c>
      <c r="J157" s="2" t="str">
        <f>D157</f>
        <v>Name</v>
      </c>
      <c r="K157" s="2" t="str">
        <f>K112</f>
        <v>Value</v>
      </c>
      <c r="L157" s="2" t="str">
        <f>L112</f>
        <v>Unit</v>
      </c>
      <c r="M157" s="2" t="str">
        <f>M112</f>
        <v>Equation</v>
      </c>
      <c r="N157" s="12"/>
    </row>
    <row r="158" spans="1:14" ht="15" customHeight="1" x14ac:dyDescent="0.2">
      <c r="A158" s="12"/>
      <c r="B158" s="220" t="s">
        <v>14</v>
      </c>
      <c r="C158" s="6" t="str">
        <f t="shared" ref="C158:C172" si="11">C113</f>
        <v>PET</v>
      </c>
      <c r="D158" t="s">
        <v>309</v>
      </c>
      <c r="E158">
        <f>C146*E113</f>
        <v>146.97</v>
      </c>
      <c r="F158" t="s">
        <v>10</v>
      </c>
      <c r="G158" s="32" t="str">
        <f>B146&amp;" * "&amp;D113</f>
        <v>TC_bottle_PET_SS_COL * bottle_PET_SS_COL_mass_mechanical</v>
      </c>
      <c r="H158" s="220" t="s">
        <v>14</v>
      </c>
      <c r="I158" s="6" t="str">
        <f>C158</f>
        <v>PET</v>
      </c>
      <c r="J158" t="s">
        <v>328</v>
      </c>
      <c r="K158" s="33">
        <f t="shared" ref="K158:K172" si="12">E113-E158</f>
        <v>60.03</v>
      </c>
      <c r="L158" t="s">
        <v>10</v>
      </c>
      <c r="M158" t="str">
        <f t="shared" ref="M158:M172" si="13">D113&amp;" - "&amp;D158</f>
        <v>bottle_PET_SS_COL_mass_mechanical - bottle_PET_COL_SOR_mass_mechanical</v>
      </c>
      <c r="N158" s="12" t="s">
        <v>1005</v>
      </c>
    </row>
    <row r="159" spans="1:14" ht="15" customHeight="1" x14ac:dyDescent="0.2">
      <c r="A159" s="12"/>
      <c r="B159" s="220"/>
      <c r="C159" s="6" t="str">
        <f t="shared" si="11"/>
        <v>PE</v>
      </c>
      <c r="D159" t="s">
        <v>310</v>
      </c>
      <c r="E159">
        <f>C147*E114</f>
        <v>39.06</v>
      </c>
      <c r="F159" t="s">
        <v>10</v>
      </c>
      <c r="G159" s="32" t="str">
        <f>B147&amp;" * "&amp;D114</f>
        <v>TC_bottle_PE_SS_COL * bottle_PE_SS_COL_mass_mechanical</v>
      </c>
      <c r="H159" s="220"/>
      <c r="I159" s="6" t="str">
        <f t="shared" ref="I159:I172" si="14">C159</f>
        <v>PE</v>
      </c>
      <c r="J159" t="s">
        <v>329</v>
      </c>
      <c r="K159" s="33">
        <f t="shared" si="12"/>
        <v>23.939999999999998</v>
      </c>
      <c r="L159" t="s">
        <v>10</v>
      </c>
      <c r="M159" t="str">
        <f t="shared" si="13"/>
        <v>bottle_PE_SS_COL_mass_mechanical - bottle_PE_COL_SOR_mass_mechanical</v>
      </c>
      <c r="N159" s="12" t="s">
        <v>1005</v>
      </c>
    </row>
    <row r="160" spans="1:14" ht="15" customHeight="1" x14ac:dyDescent="0.2">
      <c r="A160" s="12"/>
      <c r="B160" s="220"/>
      <c r="C160" s="6" t="str">
        <f t="shared" si="11"/>
        <v>PP</v>
      </c>
      <c r="D160" t="s">
        <v>311</v>
      </c>
      <c r="E160">
        <f>C148*E115</f>
        <v>0</v>
      </c>
      <c r="F160" t="s">
        <v>10</v>
      </c>
      <c r="G160" s="32" t="str">
        <f>B148&amp;" * "&amp;D115</f>
        <v>TC_bottle_PP_SS_COL * bottle_PP_SS_COL_mass_mechanical</v>
      </c>
      <c r="H160" s="220"/>
      <c r="I160" s="6" t="str">
        <f t="shared" si="14"/>
        <v>PP</v>
      </c>
      <c r="J160" t="s">
        <v>330</v>
      </c>
      <c r="K160" s="33">
        <f t="shared" si="12"/>
        <v>0</v>
      </c>
      <c r="L160" t="s">
        <v>10</v>
      </c>
      <c r="M160" t="str">
        <f t="shared" si="13"/>
        <v>bottle_PP_SS_COL_mass_mechanical - bottle_PP_COL_SOR_mass_mechanical</v>
      </c>
      <c r="N160" s="12" t="s">
        <v>1005</v>
      </c>
    </row>
    <row r="161" spans="1:14" ht="15" customHeight="1" x14ac:dyDescent="0.2">
      <c r="A161" s="12"/>
      <c r="B161" s="220"/>
      <c r="C161" s="6" t="str">
        <f t="shared" si="11"/>
        <v>PS</v>
      </c>
      <c r="D161" t="s">
        <v>312</v>
      </c>
      <c r="E161">
        <f>AVERAGE(C146:C148)*E116</f>
        <v>0</v>
      </c>
      <c r="F161" t="s">
        <v>10</v>
      </c>
      <c r="G161" s="32" t="str">
        <f>"AVERAGE("&amp;B146&amp;"; "&amp;B147&amp;"; "&amp;B148&amp;") * "&amp;D116</f>
        <v>AVERAGE(TC_bottle_PET_SS_COL; TC_bottle_PE_SS_COL; TC_bottle_PP_SS_COL) * bottle_PS_SS_COL_mass_mechanical</v>
      </c>
      <c r="H161" s="220"/>
      <c r="I161" s="6" t="str">
        <f t="shared" si="14"/>
        <v>PS</v>
      </c>
      <c r="J161" t="s">
        <v>331</v>
      </c>
      <c r="K161" s="33">
        <f t="shared" si="12"/>
        <v>0</v>
      </c>
      <c r="L161" t="s">
        <v>10</v>
      </c>
      <c r="M161" t="str">
        <f t="shared" si="13"/>
        <v>bottle_PS_SS_COL_mass_mechanical - bottle_PS_COL_SOR_mass_mechanical</v>
      </c>
      <c r="N161" s="12" t="s">
        <v>1005</v>
      </c>
    </row>
    <row r="162" spans="1:14" ht="15" customHeight="1" x14ac:dyDescent="0.2">
      <c r="A162" s="12"/>
      <c r="B162" s="220"/>
      <c r="C162" s="6" t="str">
        <f t="shared" si="11"/>
        <v>Other</v>
      </c>
      <c r="D162" t="s">
        <v>313</v>
      </c>
      <c r="E162">
        <f>AVERAGE(C146:C148)*E117</f>
        <v>0</v>
      </c>
      <c r="F162" t="s">
        <v>10</v>
      </c>
      <c r="G162" s="32" t="str">
        <f>"AVERAGE("&amp;B146&amp;"; "&amp;B147&amp;"; "&amp;B148&amp;") * "&amp;D117</f>
        <v>AVERAGE(TC_bottle_PET_SS_COL; TC_bottle_PE_SS_COL; TC_bottle_PP_SS_COL) * bottle_Oth_SS_COL_mass_mechanical</v>
      </c>
      <c r="H162" s="220"/>
      <c r="I162" s="6" t="str">
        <f t="shared" si="14"/>
        <v>Other</v>
      </c>
      <c r="J162" t="s">
        <v>332</v>
      </c>
      <c r="K162" s="33">
        <f t="shared" si="12"/>
        <v>0</v>
      </c>
      <c r="L162" t="s">
        <v>10</v>
      </c>
      <c r="M162" t="str">
        <f t="shared" si="13"/>
        <v>bottle_Oth_SS_COL_mass_mechanical - bottle_Oth_COL_SOR_mass_mechanical</v>
      </c>
      <c r="N162" s="12" t="s">
        <v>1005</v>
      </c>
    </row>
    <row r="163" spans="1:14" ht="15" customHeight="1" x14ac:dyDescent="0.2">
      <c r="A163" s="12"/>
      <c r="B163" s="220" t="s">
        <v>15</v>
      </c>
      <c r="C163" s="6" t="str">
        <f t="shared" si="11"/>
        <v>PET</v>
      </c>
      <c r="D163" t="s">
        <v>314</v>
      </c>
      <c r="E163">
        <f>C149*E118</f>
        <v>25.56</v>
      </c>
      <c r="F163" t="s">
        <v>10</v>
      </c>
      <c r="G163" s="32" t="str">
        <f>B149&amp;" * "&amp;D118</f>
        <v>TC_rigid_PET_SS_COL * rigid_PET_SS_COL_mass_mechanical</v>
      </c>
      <c r="H163" s="220" t="s">
        <v>15</v>
      </c>
      <c r="I163" s="6" t="str">
        <f t="shared" si="14"/>
        <v>PET</v>
      </c>
      <c r="J163" t="s">
        <v>333</v>
      </c>
      <c r="K163" s="33">
        <f t="shared" si="12"/>
        <v>10.440000000000001</v>
      </c>
      <c r="L163" t="s">
        <v>10</v>
      </c>
      <c r="M163" t="str">
        <f t="shared" si="13"/>
        <v>rigid_PET_SS_COL_mass_mechanical - rigid_PET_COL_SOR_mass_mechanical</v>
      </c>
      <c r="N163" s="12" t="s">
        <v>1005</v>
      </c>
    </row>
    <row r="164" spans="1:14" ht="15" customHeight="1" x14ac:dyDescent="0.2">
      <c r="A164" s="12"/>
      <c r="B164" s="220"/>
      <c r="C164" s="6" t="str">
        <f t="shared" si="11"/>
        <v>PE</v>
      </c>
      <c r="D164" t="s">
        <v>315</v>
      </c>
      <c r="E164">
        <f>C150*E119</f>
        <v>16.739999999999998</v>
      </c>
      <c r="F164" t="s">
        <v>10</v>
      </c>
      <c r="G164" s="32" t="str">
        <f>B150&amp;" * "&amp;D119</f>
        <v>TC_rigid_PE_SS_COL * rigid_PE_SS_COL_mass_mechanical</v>
      </c>
      <c r="H164" s="220"/>
      <c r="I164" s="6" t="str">
        <f t="shared" si="14"/>
        <v>PE</v>
      </c>
      <c r="J164" t="s">
        <v>334</v>
      </c>
      <c r="K164" s="33">
        <f t="shared" si="12"/>
        <v>10.260000000000002</v>
      </c>
      <c r="L164" t="s">
        <v>10</v>
      </c>
      <c r="M164" t="str">
        <f t="shared" si="13"/>
        <v>rigid_PE_SS_COL_mass_mechanical - rigid_PE_COL_SOR_mass_mechanical</v>
      </c>
      <c r="N164" s="12" t="s">
        <v>1005</v>
      </c>
    </row>
    <row r="165" spans="1:14" ht="15" customHeight="1" x14ac:dyDescent="0.2">
      <c r="A165" s="12"/>
      <c r="B165" s="220"/>
      <c r="C165" s="6" t="str">
        <f t="shared" si="11"/>
        <v>PP</v>
      </c>
      <c r="D165" t="s">
        <v>316</v>
      </c>
      <c r="E165">
        <f>C151*E120</f>
        <v>52.919999999999995</v>
      </c>
      <c r="F165" t="s">
        <v>10</v>
      </c>
      <c r="G165" s="32" t="str">
        <f>B151&amp;" * "&amp;D120</f>
        <v>TC_rigid_PP_SS_COL * rigid_PP_SS_COL_mass_mechanical</v>
      </c>
      <c r="H165" s="220"/>
      <c r="I165" s="6" t="str">
        <f t="shared" si="14"/>
        <v>PP</v>
      </c>
      <c r="J165" t="s">
        <v>335</v>
      </c>
      <c r="K165" s="33">
        <f t="shared" si="12"/>
        <v>10.080000000000005</v>
      </c>
      <c r="L165" t="s">
        <v>10</v>
      </c>
      <c r="M165" t="str">
        <f t="shared" si="13"/>
        <v>rigid_PP_SS_COL_mass_mechanical - rigid_PP_COL_SOR_mass_mechanical</v>
      </c>
      <c r="N165" s="12" t="s">
        <v>1005</v>
      </c>
    </row>
    <row r="166" spans="1:14" ht="15" customHeight="1" x14ac:dyDescent="0.2">
      <c r="A166" s="12"/>
      <c r="B166" s="220"/>
      <c r="C166" s="6" t="str">
        <f t="shared" si="11"/>
        <v>PS</v>
      </c>
      <c r="D166" t="s">
        <v>317</v>
      </c>
      <c r="E166" s="64">
        <f>AVERAGE(C149,C150,C151)*E121</f>
        <v>6.51</v>
      </c>
      <c r="F166" t="s">
        <v>10</v>
      </c>
      <c r="G166" s="32" t="str">
        <f>"AVERAGE("&amp;B149&amp;"; "&amp;B150&amp;"; "&amp;B151&amp;") * "&amp;D121</f>
        <v>AVERAGE(TC_rigid_PET_SS_COL; TC_rigid_PE_SS_COL; TC_rigid_PP_SS_COL) * rigid_PS_SS_COL_mass_mechanical</v>
      </c>
      <c r="H166" s="220"/>
      <c r="I166" s="6" t="str">
        <f t="shared" si="14"/>
        <v>PS</v>
      </c>
      <c r="J166" t="s">
        <v>336</v>
      </c>
      <c r="K166" s="33">
        <f t="shared" si="12"/>
        <v>2.4900000000000002</v>
      </c>
      <c r="L166" t="s">
        <v>10</v>
      </c>
      <c r="M166" t="str">
        <f t="shared" si="13"/>
        <v>rigid_PS_SS_COL_mass_mechanical - rigid_PS_COL_SOR_mass_mechanical</v>
      </c>
      <c r="N166" s="12" t="s">
        <v>1005</v>
      </c>
    </row>
    <row r="167" spans="1:14" ht="15" customHeight="1" x14ac:dyDescent="0.2">
      <c r="A167" s="12"/>
      <c r="B167" s="220"/>
      <c r="C167" s="6" t="str">
        <f t="shared" si="11"/>
        <v>Other</v>
      </c>
      <c r="D167" t="s">
        <v>318</v>
      </c>
      <c r="E167" s="64">
        <f>AVERAGE(C149,C150,C151)*E122</f>
        <v>32.54999999999999</v>
      </c>
      <c r="F167" t="s">
        <v>10</v>
      </c>
      <c r="G167" s="32" t="str">
        <f>"AVERAGE("&amp;B149&amp;"; "&amp;B150&amp;"; "&amp;B151&amp;") * "&amp;D122</f>
        <v>AVERAGE(TC_rigid_PET_SS_COL; TC_rigid_PE_SS_COL; TC_rigid_PP_SS_COL) * rigid_Oth_SS_COL_mass_mechanical</v>
      </c>
      <c r="H167" s="220"/>
      <c r="I167" s="6" t="str">
        <f t="shared" si="14"/>
        <v>Other</v>
      </c>
      <c r="J167" t="s">
        <v>337</v>
      </c>
      <c r="K167" s="33">
        <f t="shared" si="12"/>
        <v>12.449999999999996</v>
      </c>
      <c r="L167" t="s">
        <v>10</v>
      </c>
      <c r="M167" t="str">
        <f t="shared" si="13"/>
        <v>rigid_Oth_SS_COL_mass_mechanical - rigid_Oth_COL_SOR_mass_mechanical</v>
      </c>
      <c r="N167" s="12" t="s">
        <v>1005</v>
      </c>
    </row>
    <row r="168" spans="1:14" ht="15" customHeight="1" x14ac:dyDescent="0.2">
      <c r="A168" s="12"/>
      <c r="B168" s="220" t="s">
        <v>42</v>
      </c>
      <c r="C168" s="6" t="str">
        <f t="shared" si="11"/>
        <v>PET</v>
      </c>
      <c r="D168" t="s">
        <v>319</v>
      </c>
      <c r="E168">
        <f>C152*E123</f>
        <v>0</v>
      </c>
      <c r="F168" t="s">
        <v>10</v>
      </c>
      <c r="G168" s="32" t="str">
        <f>B152&amp;" * "&amp;D123</f>
        <v>TC_soft_PET_SS_COL * soft_PET_SS_COL_mass_mechanical</v>
      </c>
      <c r="H168" s="220" t="s">
        <v>42</v>
      </c>
      <c r="I168" s="6" t="str">
        <f t="shared" si="14"/>
        <v>PET</v>
      </c>
      <c r="J168" t="s">
        <v>338</v>
      </c>
      <c r="K168" s="33">
        <f t="shared" si="12"/>
        <v>0</v>
      </c>
      <c r="L168" t="s">
        <v>10</v>
      </c>
      <c r="M168" t="str">
        <f t="shared" si="13"/>
        <v>soft_PET_SS_COL_mass_mechanical - soft_PET_COL_SOR_mass_mechanical</v>
      </c>
      <c r="N168" s="12" t="s">
        <v>1005</v>
      </c>
    </row>
    <row r="169" spans="1:14" ht="15" customHeight="1" x14ac:dyDescent="0.2">
      <c r="A169" s="12"/>
      <c r="B169" s="220"/>
      <c r="C169" s="6" t="str">
        <f t="shared" si="11"/>
        <v>PE</v>
      </c>
      <c r="D169" t="s">
        <v>320</v>
      </c>
      <c r="E169">
        <f>C153*E124</f>
        <v>167.4</v>
      </c>
      <c r="F169" t="s">
        <v>10</v>
      </c>
      <c r="G169" s="32" t="str">
        <f>B153&amp;" * "&amp;D124</f>
        <v>TC_soft_PE_SS_COL * soft_PE_SS_COL_mass_mechanical</v>
      </c>
      <c r="H169" s="220"/>
      <c r="I169" s="6" t="str">
        <f t="shared" si="14"/>
        <v>PE</v>
      </c>
      <c r="J169" t="s">
        <v>339</v>
      </c>
      <c r="K169" s="33">
        <f t="shared" si="12"/>
        <v>102.6</v>
      </c>
      <c r="L169" t="s">
        <v>10</v>
      </c>
      <c r="M169" t="str">
        <f t="shared" si="13"/>
        <v>soft_PE_SS_COL_mass_mechanical - soft_PE_COL_SOR_mass_mechanical</v>
      </c>
      <c r="N169" s="12" t="s">
        <v>1005</v>
      </c>
    </row>
    <row r="170" spans="1:14" ht="15" customHeight="1" x14ac:dyDescent="0.2">
      <c r="A170" s="12"/>
      <c r="B170" s="220"/>
      <c r="C170" s="6" t="str">
        <f t="shared" si="11"/>
        <v>PP</v>
      </c>
      <c r="D170" t="s">
        <v>321</v>
      </c>
      <c r="E170">
        <f>C154*E125</f>
        <v>0</v>
      </c>
      <c r="F170" t="s">
        <v>10</v>
      </c>
      <c r="G170" s="32" t="str">
        <f>B154&amp;" * "&amp;D125</f>
        <v>TC_soft_PP_SS_COL * soft_PP_SS_COL_mass_mechanical</v>
      </c>
      <c r="H170" s="220"/>
      <c r="I170" s="6" t="str">
        <f t="shared" si="14"/>
        <v>PP</v>
      </c>
      <c r="J170" t="s">
        <v>340</v>
      </c>
      <c r="K170" s="33">
        <f t="shared" si="12"/>
        <v>0</v>
      </c>
      <c r="L170" t="s">
        <v>10</v>
      </c>
      <c r="M170" t="str">
        <f t="shared" si="13"/>
        <v>soft_PP_SS_COL_mass_mechanical - soft_PP_COL_SOR_mass_mechanical</v>
      </c>
      <c r="N170" s="12" t="s">
        <v>1005</v>
      </c>
    </row>
    <row r="171" spans="1:14" ht="15" customHeight="1" x14ac:dyDescent="0.2">
      <c r="A171" s="12"/>
      <c r="B171" s="220"/>
      <c r="C171" s="6" t="str">
        <f t="shared" si="11"/>
        <v>PS</v>
      </c>
      <c r="D171" t="s">
        <v>322</v>
      </c>
      <c r="E171">
        <f>AVERAGE(C152,C153,C154)*E126</f>
        <v>0</v>
      </c>
      <c r="F171" t="s">
        <v>10</v>
      </c>
      <c r="G171" s="32" t="str">
        <f>"AVERAGE("&amp;B152&amp;"; "&amp;B153&amp;"; "&amp;B154&amp;") * "&amp;D126</f>
        <v>AVERAGE(TC_soft_PET_SS_COL; TC_soft_PE_SS_COL; TC_soft_PP_SS_COL) * soft_PS_SS_COL_mass_mechanical</v>
      </c>
      <c r="H171" s="220"/>
      <c r="I171" s="6" t="str">
        <f t="shared" si="14"/>
        <v>PS</v>
      </c>
      <c r="J171" t="s">
        <v>341</v>
      </c>
      <c r="K171" s="33">
        <f t="shared" si="12"/>
        <v>0</v>
      </c>
      <c r="L171" t="s">
        <v>10</v>
      </c>
      <c r="M171" t="str">
        <f t="shared" si="13"/>
        <v>soft_PS_SS_COL_mass_mechanical - soft_PS_COL_SOR_mass_mechanical</v>
      </c>
      <c r="N171" s="12" t="s">
        <v>1005</v>
      </c>
    </row>
    <row r="172" spans="1:14" ht="15" customHeight="1" x14ac:dyDescent="0.2">
      <c r="A172" s="12"/>
      <c r="B172" s="227"/>
      <c r="C172" s="60" t="str">
        <f t="shared" si="11"/>
        <v>Other</v>
      </c>
      <c r="D172" s="44" t="s">
        <v>323</v>
      </c>
      <c r="E172" s="60">
        <f>AVERAGE(C152,C153,C154)*E127</f>
        <v>65.100000000000009</v>
      </c>
      <c r="F172" s="44" t="s">
        <v>10</v>
      </c>
      <c r="G172" s="61" t="str">
        <f>"AVERAGE("&amp;B152&amp;"; "&amp;B153&amp;"; "&amp;B154&amp;") * "&amp;D127</f>
        <v>AVERAGE(TC_soft_PET_SS_COL; TC_soft_PE_SS_COL; TC_soft_PP_SS_COL) * soft_Oth_SS_COL_mass_mechanical</v>
      </c>
      <c r="H172" s="220"/>
      <c r="I172" s="6" t="str">
        <f t="shared" si="14"/>
        <v>Other</v>
      </c>
      <c r="J172" t="s">
        <v>342</v>
      </c>
      <c r="K172" s="33">
        <f t="shared" si="12"/>
        <v>24.90000000000002</v>
      </c>
      <c r="L172" t="s">
        <v>10</v>
      </c>
      <c r="M172" t="str">
        <f t="shared" si="13"/>
        <v>soft_Oth_SS_COL_mass_mechanical - soft_Oth_COL_SOR_mass_mechanical</v>
      </c>
      <c r="N172" s="12" t="s">
        <v>1005</v>
      </c>
    </row>
    <row r="173" spans="1:14" ht="25" customHeight="1" x14ac:dyDescent="0.2">
      <c r="A173" s="12"/>
      <c r="B173" s="214" t="s">
        <v>60</v>
      </c>
      <c r="C173" s="214"/>
      <c r="D173" s="214"/>
      <c r="E173" s="214"/>
      <c r="F173" s="214"/>
      <c r="G173" s="214"/>
      <c r="H173" s="214"/>
      <c r="I173" s="214"/>
      <c r="J173" s="214"/>
      <c r="K173" s="214"/>
      <c r="L173" s="214"/>
      <c r="M173" s="214"/>
      <c r="N173" s="12"/>
    </row>
    <row r="174" spans="1:14" ht="15" customHeight="1" x14ac:dyDescent="0.2">
      <c r="A174" s="12"/>
      <c r="B174" s="2" t="str">
        <f>B134</f>
        <v>Parameter</v>
      </c>
      <c r="C174" s="2" t="str">
        <f>C134</f>
        <v>Value</v>
      </c>
      <c r="D174" s="2" t="str">
        <f>D134</f>
        <v>Unit</v>
      </c>
      <c r="E174" s="2" t="str">
        <f>E134</f>
        <v>Description</v>
      </c>
      <c r="F174" s="2"/>
      <c r="G174" s="1"/>
      <c r="H174" s="2" t="str">
        <f>H134</f>
        <v>Parameter</v>
      </c>
      <c r="I174" s="2" t="str">
        <f>I134</f>
        <v>Value</v>
      </c>
      <c r="J174" s="2" t="str">
        <f>J134</f>
        <v>Unit</v>
      </c>
      <c r="K174" s="2" t="str">
        <f>K134</f>
        <v>Description</v>
      </c>
      <c r="L174" s="2"/>
      <c r="M174" s="2"/>
      <c r="N174" s="12"/>
    </row>
    <row r="175" spans="1:14" ht="15" customHeight="1" x14ac:dyDescent="0.2">
      <c r="A175" s="12"/>
      <c r="B175" t="s">
        <v>324</v>
      </c>
      <c r="C175">
        <f>SUM(E158:E162)</f>
        <v>186.03</v>
      </c>
      <c r="D175" t="s">
        <v>10</v>
      </c>
      <c r="E175" t="s">
        <v>1173</v>
      </c>
      <c r="G175" s="32"/>
      <c r="H175" t="s">
        <v>343</v>
      </c>
      <c r="I175" s="33">
        <f>SUM(K158:K162)</f>
        <v>83.97</v>
      </c>
      <c r="J175" t="s">
        <v>10</v>
      </c>
      <c r="K175" t="s">
        <v>1174</v>
      </c>
      <c r="N175" s="12"/>
    </row>
    <row r="176" spans="1:14" ht="15" customHeight="1" x14ac:dyDescent="0.2">
      <c r="A176" s="12"/>
      <c r="B176" t="s">
        <v>325</v>
      </c>
      <c r="C176">
        <f>SUM(E163:E167)</f>
        <v>134.28</v>
      </c>
      <c r="D176" t="s">
        <v>10</v>
      </c>
      <c r="E176" t="s">
        <v>1175</v>
      </c>
      <c r="G176" s="32"/>
      <c r="H176" t="s">
        <v>344</v>
      </c>
      <c r="I176" s="33">
        <f>SUM(K163:K167)</f>
        <v>45.720000000000006</v>
      </c>
      <c r="J176" t="s">
        <v>10</v>
      </c>
      <c r="K176" t="s">
        <v>1176</v>
      </c>
      <c r="N176" s="12"/>
    </row>
    <row r="177" spans="1:14" ht="15" customHeight="1" thickBot="1" x14ac:dyDescent="0.25">
      <c r="A177" s="12"/>
      <c r="B177" s="8" t="s">
        <v>326</v>
      </c>
      <c r="C177" s="8">
        <f>SUM(E168:E172)</f>
        <v>232.5</v>
      </c>
      <c r="D177" s="8" t="s">
        <v>10</v>
      </c>
      <c r="E177" s="8" t="s">
        <v>1177</v>
      </c>
      <c r="F177" s="8"/>
      <c r="G177" s="87"/>
      <c r="H177" s="8" t="s">
        <v>345</v>
      </c>
      <c r="I177" s="34">
        <f>SUM(K168:K172)</f>
        <v>127.50000000000001</v>
      </c>
      <c r="J177" s="8" t="s">
        <v>10</v>
      </c>
      <c r="K177" s="8" t="s">
        <v>1178</v>
      </c>
      <c r="L177" s="8"/>
      <c r="M177" s="8"/>
      <c r="N177" s="12"/>
    </row>
    <row r="178" spans="1:14" ht="15" customHeight="1" thickTop="1" x14ac:dyDescent="0.2">
      <c r="A178" s="12"/>
      <c r="B178" s="44" t="s">
        <v>327</v>
      </c>
      <c r="C178" s="44">
        <f>SUM(C175:C177)</f>
        <v>552.80999999999995</v>
      </c>
      <c r="D178" s="44" t="s">
        <v>10</v>
      </c>
      <c r="E178" s="44" t="s">
        <v>1179</v>
      </c>
      <c r="F178" s="44"/>
      <c r="G178" s="61"/>
      <c r="H178" s="44" t="s">
        <v>346</v>
      </c>
      <c r="I178" s="62">
        <f>SUM(I175:I177)</f>
        <v>257.19</v>
      </c>
      <c r="J178" s="44" t="s">
        <v>10</v>
      </c>
      <c r="K178" s="44" t="s">
        <v>1180</v>
      </c>
      <c r="L178" s="44"/>
      <c r="M178" s="44"/>
      <c r="N178" s="12"/>
    </row>
    <row r="179" spans="1:14" ht="15" customHeight="1" x14ac:dyDescent="0.2">
      <c r="A179" s="12"/>
      <c r="B179" s="125" t="s">
        <v>2704</v>
      </c>
      <c r="C179" s="125" t="str">
        <f>IF(C178+I178=C139,"true")</f>
        <v>true</v>
      </c>
      <c r="D179" s="125"/>
      <c r="E179" s="125"/>
      <c r="F179" s="125"/>
      <c r="G179" s="125"/>
      <c r="H179" s="125"/>
      <c r="I179" s="126"/>
      <c r="J179" s="125"/>
      <c r="K179" s="125"/>
      <c r="L179" s="125"/>
      <c r="M179" s="125"/>
      <c r="N179" s="12"/>
    </row>
    <row r="180" spans="1:14" ht="15" customHeight="1" x14ac:dyDescent="0.2">
      <c r="A180" s="12"/>
      <c r="B180" s="12"/>
      <c r="C180" s="12"/>
      <c r="D180" s="12"/>
      <c r="E180" s="12"/>
      <c r="F180" s="12"/>
      <c r="G180" s="12"/>
      <c r="H180" s="12"/>
      <c r="I180" s="13"/>
      <c r="J180" s="12"/>
      <c r="K180" s="12"/>
      <c r="L180" s="12"/>
      <c r="M180" s="12"/>
      <c r="N180" s="12"/>
    </row>
    <row r="181" spans="1:14" ht="15" customHeight="1" x14ac:dyDescent="0.2">
      <c r="A181" s="12"/>
      <c r="B181" s="12"/>
      <c r="C181" s="12"/>
      <c r="D181" s="12"/>
      <c r="E181" s="12"/>
      <c r="F181" s="12"/>
      <c r="G181" s="12"/>
      <c r="H181" s="12"/>
      <c r="I181" s="12"/>
      <c r="J181" s="12"/>
      <c r="K181" s="12"/>
      <c r="L181" s="12"/>
      <c r="M181" s="12"/>
      <c r="N181" s="12"/>
    </row>
    <row r="182" spans="1:14" ht="15" customHeight="1" x14ac:dyDescent="0.2">
      <c r="A182" s="12"/>
      <c r="B182" s="12"/>
      <c r="C182" s="12"/>
      <c r="D182" s="12"/>
      <c r="E182" s="13"/>
      <c r="F182" s="12"/>
      <c r="G182" s="12"/>
      <c r="H182" s="12"/>
      <c r="I182" s="12"/>
      <c r="J182" s="12"/>
      <c r="K182" s="12"/>
      <c r="L182" s="12"/>
      <c r="M182" s="12"/>
      <c r="N182" s="12"/>
    </row>
    <row r="183" spans="1:14" ht="15" customHeight="1" x14ac:dyDescent="0.2">
      <c r="A183" s="12"/>
      <c r="B183" s="12"/>
      <c r="C183" s="12"/>
      <c r="D183" s="12"/>
      <c r="E183" s="12"/>
      <c r="F183" s="12"/>
      <c r="G183" s="12"/>
      <c r="H183" s="12"/>
      <c r="I183" s="12"/>
      <c r="J183" s="12"/>
      <c r="K183" s="12"/>
      <c r="L183" s="12"/>
      <c r="M183" s="12"/>
      <c r="N183" s="12"/>
    </row>
    <row r="184" spans="1:14" ht="15" customHeight="1" x14ac:dyDescent="0.2">
      <c r="A184" s="12"/>
      <c r="B184" s="12"/>
      <c r="C184" s="12"/>
      <c r="D184" s="12"/>
      <c r="E184" s="12"/>
      <c r="F184" s="12"/>
      <c r="G184" s="12"/>
      <c r="H184" s="12"/>
      <c r="I184" s="12"/>
      <c r="J184" s="12"/>
      <c r="K184" s="12"/>
      <c r="L184" s="12"/>
      <c r="M184" s="12"/>
      <c r="N184" s="12"/>
    </row>
    <row r="185" spans="1:14" ht="25" customHeight="1" x14ac:dyDescent="0.2">
      <c r="A185" s="12"/>
      <c r="B185" s="214" t="s">
        <v>70</v>
      </c>
      <c r="C185" s="214"/>
      <c r="D185" s="214"/>
      <c r="E185" s="214"/>
      <c r="F185" s="214"/>
      <c r="G185" s="214"/>
      <c r="H185" s="214"/>
      <c r="I185" s="214"/>
      <c r="J185" s="214"/>
      <c r="K185" s="214"/>
      <c r="L185" s="214"/>
      <c r="M185" s="214"/>
      <c r="N185" s="12"/>
    </row>
    <row r="186" spans="1:14" ht="15" customHeight="1" x14ac:dyDescent="0.2">
      <c r="A186" s="12"/>
      <c r="B186" s="114" t="str">
        <f t="shared" ref="B186:G186" si="15">B145</f>
        <v>Parameters</v>
      </c>
      <c r="C186" s="114" t="str">
        <f t="shared" si="15"/>
        <v>Value</v>
      </c>
      <c r="D186" s="114" t="str">
        <f t="shared" si="15"/>
        <v>Unit</v>
      </c>
      <c r="E186" s="114" t="str">
        <f t="shared" si="15"/>
        <v>Min</v>
      </c>
      <c r="F186" s="114" t="str">
        <f t="shared" si="15"/>
        <v>Max</v>
      </c>
      <c r="G186" s="114" t="str">
        <f t="shared" si="15"/>
        <v>Description</v>
      </c>
      <c r="H186" s="114" t="s">
        <v>112</v>
      </c>
      <c r="I186" s="114"/>
      <c r="J186" s="114"/>
      <c r="K186" s="114"/>
      <c r="L186" s="114"/>
      <c r="M186" s="114"/>
      <c r="N186" s="12"/>
    </row>
    <row r="187" spans="1:14" ht="15" customHeight="1" x14ac:dyDescent="0.2">
      <c r="A187" s="12"/>
      <c r="B187" s="106" t="str">
        <f>'info, structure, parameters'!A148</f>
        <v xml:space="preserve">TC_bottle_PET_COL_SOR </v>
      </c>
      <c r="C187" s="106">
        <f>'info, structure, parameters'!B148</f>
        <v>0.83</v>
      </c>
      <c r="D187" s="106" t="str">
        <f>'info, structure, parameters'!C148</f>
        <v>%ww</v>
      </c>
      <c r="E187" s="106">
        <f>'info, structure, parameters'!D148</f>
        <v>0.83</v>
      </c>
      <c r="F187" s="106">
        <f>'info, structure, parameters'!E148</f>
        <v>0.83</v>
      </c>
      <c r="G187" s="106" t="str">
        <f>'info, structure, parameters'!F148</f>
        <v>Transfer coefficient of collected bottle PET that is sorted</v>
      </c>
      <c r="H187" s="106">
        <f>'info, structure, parameters'!G148</f>
        <v>2</v>
      </c>
      <c r="I187" s="106"/>
      <c r="J187" s="106"/>
      <c r="K187" s="106"/>
      <c r="L187" s="106"/>
      <c r="M187" s="106"/>
      <c r="N187" s="12"/>
    </row>
    <row r="188" spans="1:14" ht="15" customHeight="1" x14ac:dyDescent="0.2">
      <c r="A188" s="12"/>
      <c r="B188" s="106" t="str">
        <f>'info, structure, parameters'!A149</f>
        <v xml:space="preserve">TC_bottle_PE_COL_SOR </v>
      </c>
      <c r="C188" s="106">
        <f>'info, structure, parameters'!B149</f>
        <v>0.88</v>
      </c>
      <c r="D188" s="106" t="str">
        <f>'info, structure, parameters'!C149</f>
        <v>%ww</v>
      </c>
      <c r="E188" s="106">
        <f>'info, structure, parameters'!D149</f>
        <v>0.76</v>
      </c>
      <c r="F188" s="106">
        <f>'info, structure, parameters'!E149</f>
        <v>0.88</v>
      </c>
      <c r="G188" s="106" t="str">
        <f>'info, structure, parameters'!F149</f>
        <v>Transfer coefficient of collected bottle PE that is sorted</v>
      </c>
      <c r="H188" s="106">
        <f>'info, structure, parameters'!G149</f>
        <v>2</v>
      </c>
      <c r="I188" s="106"/>
      <c r="J188" s="106"/>
      <c r="K188" s="106"/>
      <c r="L188" s="106"/>
      <c r="M188" s="106"/>
      <c r="N188" s="12"/>
    </row>
    <row r="189" spans="1:14" ht="15" customHeight="1" x14ac:dyDescent="0.2">
      <c r="A189" s="12"/>
      <c r="B189" s="106" t="str">
        <f>'info, structure, parameters'!A150</f>
        <v xml:space="preserve">TC_bottle_PP_COL_SOR </v>
      </c>
      <c r="C189" s="106">
        <f>'info, structure, parameters'!B150</f>
        <v>0.7</v>
      </c>
      <c r="D189" s="106" t="str">
        <f>'info, structure, parameters'!C150</f>
        <v>%ww</v>
      </c>
      <c r="E189" s="106">
        <f>'info, structure, parameters'!D150</f>
        <v>0.44</v>
      </c>
      <c r="F189" s="106">
        <f>'info, structure, parameters'!E150</f>
        <v>0.7</v>
      </c>
      <c r="G189" s="106" t="str">
        <f>'info, structure, parameters'!F150</f>
        <v>Transfer coefficient of collected bottle PP that is sorted</v>
      </c>
      <c r="H189" s="106">
        <f>'info, structure, parameters'!G150</f>
        <v>2</v>
      </c>
      <c r="I189" s="106"/>
      <c r="J189" s="106"/>
      <c r="K189" s="106"/>
      <c r="L189" s="106"/>
      <c r="M189" s="106"/>
      <c r="N189" s="12"/>
    </row>
    <row r="190" spans="1:14" ht="15" customHeight="1" x14ac:dyDescent="0.2">
      <c r="A190" s="12"/>
      <c r="B190" s="106" t="str">
        <f>'info, structure, parameters'!A151</f>
        <v xml:space="preserve">TC_rigid_PET_COL_SOR </v>
      </c>
      <c r="C190" s="106">
        <f>'info, structure, parameters'!B151</f>
        <v>0.83</v>
      </c>
      <c r="D190" s="106" t="str">
        <f>'info, structure, parameters'!C151</f>
        <v>%ww</v>
      </c>
      <c r="E190" s="106">
        <f>'info, structure, parameters'!D151</f>
        <v>0.24</v>
      </c>
      <c r="F190" s="106">
        <f>'info, structure, parameters'!E151</f>
        <v>0.83</v>
      </c>
      <c r="G190" s="106" t="str">
        <f>'info, structure, parameters'!F151</f>
        <v>Transfer coefficient of collected rigid PET that is sorted</v>
      </c>
      <c r="H190" s="106">
        <f>'info, structure, parameters'!G151</f>
        <v>2</v>
      </c>
      <c r="I190" s="106"/>
      <c r="J190" s="106"/>
      <c r="K190" s="106"/>
      <c r="L190" s="106"/>
      <c r="M190" s="106"/>
      <c r="N190" s="12"/>
    </row>
    <row r="191" spans="1:14" ht="15" customHeight="1" x14ac:dyDescent="0.2">
      <c r="A191" s="12"/>
      <c r="B191" s="106" t="str">
        <f>'info, structure, parameters'!A152</f>
        <v xml:space="preserve">TC_rigid_PE_COL_SOR </v>
      </c>
      <c r="C191" s="106">
        <f>'info, structure, parameters'!B152</f>
        <v>0.88</v>
      </c>
      <c r="D191" s="106" t="str">
        <f>'info, structure, parameters'!C152</f>
        <v>%ww</v>
      </c>
      <c r="E191" s="106">
        <f>'info, structure, parameters'!D152</f>
        <v>0.01</v>
      </c>
      <c r="F191" s="106">
        <f>'info, structure, parameters'!E152</f>
        <v>0.88</v>
      </c>
      <c r="G191" s="106" t="str">
        <f>'info, structure, parameters'!F152</f>
        <v>Transfer coefficient of collected rigid PE that is sorted</v>
      </c>
      <c r="H191" s="106">
        <f>'info, structure, parameters'!G152</f>
        <v>2</v>
      </c>
      <c r="I191" s="106"/>
      <c r="J191" s="106"/>
      <c r="K191" s="106"/>
      <c r="L191" s="106"/>
      <c r="M191" s="106"/>
      <c r="N191" s="12"/>
    </row>
    <row r="192" spans="1:14" ht="15" customHeight="1" x14ac:dyDescent="0.2">
      <c r="A192" s="12"/>
      <c r="B192" s="106" t="str">
        <f>'info, structure, parameters'!A153</f>
        <v xml:space="preserve">TC_rigid_PP_COL_SOR </v>
      </c>
      <c r="C192" s="106">
        <f>'info, structure, parameters'!B153</f>
        <v>0.7</v>
      </c>
      <c r="D192" s="106" t="str">
        <f>'info, structure, parameters'!C153</f>
        <v>%ww</v>
      </c>
      <c r="E192" s="106">
        <f>'info, structure, parameters'!D153</f>
        <v>0.56000000000000005</v>
      </c>
      <c r="F192" s="106">
        <f>'info, structure, parameters'!E153</f>
        <v>0.7</v>
      </c>
      <c r="G192" s="106" t="str">
        <f>'info, structure, parameters'!F153</f>
        <v>Transfer coefficient of collected rigid PP that is sorted</v>
      </c>
      <c r="H192" s="106" t="str">
        <f>'info, structure, parameters'!G153</f>
        <v>8, 2</v>
      </c>
      <c r="I192" s="106"/>
      <c r="J192" s="106"/>
      <c r="K192" s="106"/>
      <c r="L192" s="106"/>
      <c r="M192" s="106"/>
      <c r="N192" s="12"/>
    </row>
    <row r="193" spans="1:14" ht="15" customHeight="1" x14ac:dyDescent="0.2">
      <c r="A193" s="12"/>
      <c r="B193" s="106" t="str">
        <f>'info, structure, parameters'!A154</f>
        <v xml:space="preserve">TC_soft_PET_COL_SOR </v>
      </c>
      <c r="C193" s="106">
        <f>'info, structure, parameters'!B154</f>
        <v>0.83</v>
      </c>
      <c r="D193" s="106" t="str">
        <f>'info, structure, parameters'!C154</f>
        <v>%ww</v>
      </c>
      <c r="E193" s="106">
        <f>'info, structure, parameters'!D154</f>
        <v>0.57999999999999996</v>
      </c>
      <c r="F193" s="106">
        <f>'info, structure, parameters'!E154</f>
        <v>0.83</v>
      </c>
      <c r="G193" s="106" t="str">
        <f>'info, structure, parameters'!F154</f>
        <v>Transfer coefficient of collected soft PET that is sorted</v>
      </c>
      <c r="H193" s="106">
        <f>'info, structure, parameters'!G154</f>
        <v>2</v>
      </c>
      <c r="I193" s="106"/>
      <c r="J193" s="106"/>
      <c r="K193" s="106"/>
      <c r="L193" s="106"/>
      <c r="M193" s="106"/>
      <c r="N193" s="12"/>
    </row>
    <row r="194" spans="1:14" ht="15" customHeight="1" x14ac:dyDescent="0.2">
      <c r="A194" s="12"/>
      <c r="B194" s="106" t="str">
        <f>'info, structure, parameters'!A155</f>
        <v xml:space="preserve">TC_soft_PE_COL_SOR </v>
      </c>
      <c r="C194" s="106">
        <f>'info, structure, parameters'!B155</f>
        <v>0.88</v>
      </c>
      <c r="D194" s="106" t="str">
        <f>'info, structure, parameters'!C155</f>
        <v>%ww</v>
      </c>
      <c r="E194" s="106">
        <f>'info, structure, parameters'!D155</f>
        <v>0.57999999999999996</v>
      </c>
      <c r="F194" s="106">
        <f>'info, structure, parameters'!E155</f>
        <v>0.88</v>
      </c>
      <c r="G194" s="106" t="str">
        <f>'info, structure, parameters'!F155</f>
        <v>Transfer coefficient of collected soft PE that is sorted</v>
      </c>
      <c r="H194" s="106">
        <f>'info, structure, parameters'!G155</f>
        <v>2</v>
      </c>
      <c r="I194" s="106"/>
      <c r="J194" s="106"/>
      <c r="K194" s="106"/>
      <c r="L194" s="106"/>
      <c r="M194" s="106"/>
      <c r="N194" s="12"/>
    </row>
    <row r="195" spans="1:14" ht="15" customHeight="1" x14ac:dyDescent="0.2">
      <c r="A195" s="12"/>
      <c r="B195" s="106" t="str">
        <f>'info, structure, parameters'!A156</f>
        <v xml:space="preserve">TC_soft_PP_COL_SOR </v>
      </c>
      <c r="C195" s="106">
        <f>'info, structure, parameters'!B156</f>
        <v>0.7</v>
      </c>
      <c r="D195" s="106" t="str">
        <f>'info, structure, parameters'!C156</f>
        <v>%ww</v>
      </c>
      <c r="E195" s="106">
        <f>'info, structure, parameters'!D156</f>
        <v>0.57999999999999996</v>
      </c>
      <c r="F195" s="106">
        <f>'info, structure, parameters'!E156</f>
        <v>0.7</v>
      </c>
      <c r="G195" s="106" t="str">
        <f>'info, structure, parameters'!F156</f>
        <v>Transfer coefficient of collected soft PP that is sorted</v>
      </c>
      <c r="H195" s="106">
        <f>'info, structure, parameters'!G156</f>
        <v>2</v>
      </c>
      <c r="I195" s="106"/>
      <c r="J195" s="106"/>
      <c r="K195" s="106"/>
      <c r="L195" s="106"/>
      <c r="M195" s="106"/>
      <c r="N195" s="12"/>
    </row>
    <row r="196" spans="1:14" ht="25" customHeight="1" x14ac:dyDescent="0.2">
      <c r="A196" s="12"/>
      <c r="B196" s="214" t="s">
        <v>80</v>
      </c>
      <c r="C196" s="214"/>
      <c r="D196" s="214"/>
      <c r="E196" s="214"/>
      <c r="F196" s="214"/>
      <c r="G196" s="214"/>
      <c r="H196" s="214"/>
      <c r="I196" s="214"/>
      <c r="J196" s="214"/>
      <c r="K196" s="214"/>
      <c r="L196" s="214"/>
      <c r="M196" s="214"/>
      <c r="N196" s="12"/>
    </row>
    <row r="197" spans="1:14" ht="25" customHeight="1" x14ac:dyDescent="0.2">
      <c r="A197" s="12"/>
      <c r="B197" s="226" t="s">
        <v>93</v>
      </c>
      <c r="C197" s="226"/>
      <c r="D197" s="226"/>
      <c r="E197" s="226"/>
      <c r="F197" s="226"/>
      <c r="G197" s="233"/>
      <c r="H197" s="226" t="s">
        <v>59</v>
      </c>
      <c r="I197" s="226"/>
      <c r="J197" s="226"/>
      <c r="K197" s="226"/>
      <c r="L197" s="226"/>
      <c r="M197" s="226"/>
      <c r="N197" s="12"/>
    </row>
    <row r="198" spans="1:14" ht="15" customHeight="1" x14ac:dyDescent="0.2">
      <c r="A198" s="12"/>
      <c r="B198" s="2" t="str">
        <f>B157</f>
        <v>Fraction</v>
      </c>
      <c r="C198" s="2" t="str">
        <f>C157</f>
        <v>Sub-fraction</v>
      </c>
      <c r="D198" s="2" t="s">
        <v>99</v>
      </c>
      <c r="E198" s="2" t="str">
        <f>E157</f>
        <v>Value</v>
      </c>
      <c r="F198" s="2" t="str">
        <f>F157</f>
        <v>Unit</v>
      </c>
      <c r="G198" s="4" t="str">
        <f>G157</f>
        <v>Equation</v>
      </c>
      <c r="H198" s="2" t="str">
        <f>H157</f>
        <v>Fraction</v>
      </c>
      <c r="I198" s="2" t="str">
        <f>I157</f>
        <v>Sub-fraction</v>
      </c>
      <c r="J198" s="2" t="str">
        <f>D198</f>
        <v>Name</v>
      </c>
      <c r="K198" s="2" t="str">
        <f>K157</f>
        <v>Value</v>
      </c>
      <c r="L198" s="2" t="str">
        <f>L157</f>
        <v>Unit</v>
      </c>
      <c r="M198" s="2" t="str">
        <f>M157</f>
        <v>Equation</v>
      </c>
      <c r="N198" s="12"/>
    </row>
    <row r="199" spans="1:14" ht="15" customHeight="1" x14ac:dyDescent="0.2">
      <c r="A199" s="12"/>
      <c r="B199" s="220" t="s">
        <v>14</v>
      </c>
      <c r="C199" s="6" t="str">
        <f t="shared" ref="C199:C213" si="16">C158</f>
        <v>PET</v>
      </c>
      <c r="D199" t="s">
        <v>347</v>
      </c>
      <c r="E199">
        <f>C187*(E158+K158)</f>
        <v>171.81</v>
      </c>
      <c r="F199" t="s">
        <v>10</v>
      </c>
      <c r="G199" s="32" t="str">
        <f>B187&amp;" * "&amp;D160</f>
        <v>TC_bottle_PET_COL_SOR  * bottle_PP_COL_SOR_mass_mechanical</v>
      </c>
      <c r="H199" s="220" t="s">
        <v>14</v>
      </c>
      <c r="I199" s="6" t="str">
        <f>C199</f>
        <v>PET</v>
      </c>
      <c r="J199" t="s">
        <v>365</v>
      </c>
      <c r="K199" s="33">
        <f t="shared" ref="K199:K213" si="17">(E158+K158)-E199</f>
        <v>35.19</v>
      </c>
      <c r="L199" t="s">
        <v>10</v>
      </c>
      <c r="M199" t="str">
        <f>D158&amp;" - "&amp;D199</f>
        <v>bottle_PET_COL_SOR_mass_mechanical - bottle_PET_SOR_RE_mass_mechanical</v>
      </c>
      <c r="N199" s="12" t="s">
        <v>1005</v>
      </c>
    </row>
    <row r="200" spans="1:14" ht="15" customHeight="1" x14ac:dyDescent="0.2">
      <c r="A200" s="12"/>
      <c r="B200" s="220"/>
      <c r="C200" s="6" t="str">
        <f t="shared" si="16"/>
        <v>PE</v>
      </c>
      <c r="D200" t="s">
        <v>348</v>
      </c>
      <c r="E200">
        <f>C188*(E159+K159)</f>
        <v>55.44</v>
      </c>
      <c r="F200" t="str">
        <f>F199</f>
        <v>kg ww</v>
      </c>
      <c r="G200" s="32" t="str">
        <f t="shared" ref="G200:G201" si="18">B188&amp;" * "&amp;D161</f>
        <v>TC_bottle_PE_COL_SOR  * bottle_PS_COL_SOR_mass_mechanical</v>
      </c>
      <c r="H200" s="220"/>
      <c r="I200" s="6" t="str">
        <f t="shared" ref="I200:I213" si="19">C200</f>
        <v>PE</v>
      </c>
      <c r="J200" t="s">
        <v>366</v>
      </c>
      <c r="K200" s="33">
        <f t="shared" si="17"/>
        <v>7.5600000000000023</v>
      </c>
      <c r="L200" t="str">
        <f>L199</f>
        <v>kg ww</v>
      </c>
      <c r="M200" t="str">
        <f t="shared" ref="M200:M213" si="20">D159&amp;" - "&amp;D200</f>
        <v>bottle_PE_COL_SOR_mass_mechanical - bottle_PE_SOR_RE_mass_mechanical</v>
      </c>
      <c r="N200" s="12" t="s">
        <v>1005</v>
      </c>
    </row>
    <row r="201" spans="1:14" ht="15" customHeight="1" x14ac:dyDescent="0.2">
      <c r="A201" s="12"/>
      <c r="B201" s="220"/>
      <c r="C201" s="6" t="str">
        <f t="shared" si="16"/>
        <v>PP</v>
      </c>
      <c r="D201" t="s">
        <v>349</v>
      </c>
      <c r="E201">
        <f>C189*(E160+K160)</f>
        <v>0</v>
      </c>
      <c r="F201" t="str">
        <f t="shared" ref="F201:F213" si="21">F200</f>
        <v>kg ww</v>
      </c>
      <c r="G201" s="32" t="str">
        <f t="shared" si="18"/>
        <v>TC_bottle_PP_COL_SOR  * bottle_Oth_COL_SOR_mass_mechanical</v>
      </c>
      <c r="H201" s="220"/>
      <c r="I201" s="6" t="str">
        <f t="shared" si="19"/>
        <v>PP</v>
      </c>
      <c r="J201" t="s">
        <v>367</v>
      </c>
      <c r="K201" s="33">
        <f t="shared" si="17"/>
        <v>0</v>
      </c>
      <c r="L201" t="str">
        <f t="shared" ref="L201:L213" si="22">L200</f>
        <v>kg ww</v>
      </c>
      <c r="M201" t="str">
        <f t="shared" si="20"/>
        <v>bottle_PP_COL_SOR_mass_mechanical - bottle_PP_SOR_RE_mass_mechanical</v>
      </c>
      <c r="N201" s="12" t="s">
        <v>1005</v>
      </c>
    </row>
    <row r="202" spans="1:14" ht="15" customHeight="1" x14ac:dyDescent="0.2">
      <c r="A202" s="12"/>
      <c r="B202" s="220"/>
      <c r="C202" s="6" t="str">
        <f t="shared" si="16"/>
        <v>PS</v>
      </c>
      <c r="D202" t="s">
        <v>350</v>
      </c>
      <c r="E202">
        <f>AVERAGE(C187:C189)*E161</f>
        <v>0</v>
      </c>
      <c r="F202" t="str">
        <f t="shared" si="21"/>
        <v>kg ww</v>
      </c>
      <c r="G202" s="32" t="str">
        <f>"AVERAGE("&amp;B187&amp;"; "&amp;B188&amp;"; "&amp;B189&amp;") * "&amp;D163</f>
        <v>AVERAGE(TC_bottle_PET_COL_SOR ; TC_bottle_PE_COL_SOR ; TC_bottle_PP_COL_SOR ) * rigid_PET_COL_SOR_mass_mechanical</v>
      </c>
      <c r="H202" s="220"/>
      <c r="I202" s="6" t="str">
        <f t="shared" si="19"/>
        <v>PS</v>
      </c>
      <c r="J202" t="s">
        <v>368</v>
      </c>
      <c r="K202" s="33">
        <f t="shared" si="17"/>
        <v>0</v>
      </c>
      <c r="L202" t="str">
        <f t="shared" si="22"/>
        <v>kg ww</v>
      </c>
      <c r="M202" t="str">
        <f t="shared" si="20"/>
        <v>bottle_PS_COL_SOR_mass_mechanical - bottle_PS_SOR_RE_mass_mechanical</v>
      </c>
      <c r="N202" s="12" t="s">
        <v>1005</v>
      </c>
    </row>
    <row r="203" spans="1:14" ht="15" customHeight="1" x14ac:dyDescent="0.2">
      <c r="A203" s="12"/>
      <c r="B203" s="220"/>
      <c r="C203" s="6" t="str">
        <f t="shared" si="16"/>
        <v>Other</v>
      </c>
      <c r="D203" t="s">
        <v>351</v>
      </c>
      <c r="E203">
        <f>AVERAGE(C187:C189)*E162</f>
        <v>0</v>
      </c>
      <c r="F203" t="str">
        <f t="shared" si="21"/>
        <v>kg ww</v>
      </c>
      <c r="G203" s="32" t="str">
        <f>"AVERAGE("&amp;B187&amp;"; "&amp;B188&amp;"; "&amp;B189&amp;") * "&amp;D164</f>
        <v>AVERAGE(TC_bottle_PET_COL_SOR ; TC_bottle_PE_COL_SOR ; TC_bottle_PP_COL_SOR ) * rigid_PE_COL_SOR_mass_mechanical</v>
      </c>
      <c r="H203" s="220"/>
      <c r="I203" s="6" t="str">
        <f t="shared" si="19"/>
        <v>Other</v>
      </c>
      <c r="J203" t="s">
        <v>369</v>
      </c>
      <c r="K203" s="33">
        <f t="shared" si="17"/>
        <v>0</v>
      </c>
      <c r="L203" t="str">
        <f t="shared" si="22"/>
        <v>kg ww</v>
      </c>
      <c r="M203" t="str">
        <f t="shared" si="20"/>
        <v>bottle_Oth_COL_SOR_mass_mechanical - bottle_Oth_SOR_RE_mass_mechanical</v>
      </c>
      <c r="N203" s="12" t="s">
        <v>1005</v>
      </c>
    </row>
    <row r="204" spans="1:14" ht="15" customHeight="1" x14ac:dyDescent="0.2">
      <c r="A204" s="12"/>
      <c r="B204" s="220" t="s">
        <v>15</v>
      </c>
      <c r="C204" s="6" t="str">
        <f t="shared" si="16"/>
        <v>PET</v>
      </c>
      <c r="D204" t="s">
        <v>352</v>
      </c>
      <c r="E204">
        <f>C190*(E163+K163)</f>
        <v>29.88</v>
      </c>
      <c r="F204" t="str">
        <f t="shared" si="21"/>
        <v>kg ww</v>
      </c>
      <c r="G204" s="32" t="str">
        <f>B190&amp;" * "&amp;D165</f>
        <v>TC_rigid_PET_COL_SOR  * rigid_PP_COL_SOR_mass_mechanical</v>
      </c>
      <c r="H204" s="220" t="s">
        <v>15</v>
      </c>
      <c r="I204" s="6" t="str">
        <f t="shared" si="19"/>
        <v>PET</v>
      </c>
      <c r="J204" t="s">
        <v>370</v>
      </c>
      <c r="K204" s="33">
        <f t="shared" si="17"/>
        <v>6.120000000000001</v>
      </c>
      <c r="L204" t="str">
        <f t="shared" si="22"/>
        <v>kg ww</v>
      </c>
      <c r="M204" t="str">
        <f t="shared" si="20"/>
        <v>rigid_PET_COL_SOR_mass_mechanical - rigid_PET_SOR_RE_mass_mechanical</v>
      </c>
      <c r="N204" s="12" t="s">
        <v>1005</v>
      </c>
    </row>
    <row r="205" spans="1:14" ht="15" customHeight="1" x14ac:dyDescent="0.2">
      <c r="A205" s="12"/>
      <c r="B205" s="220"/>
      <c r="C205" s="6" t="str">
        <f t="shared" si="16"/>
        <v>PE</v>
      </c>
      <c r="D205" t="s">
        <v>353</v>
      </c>
      <c r="E205">
        <f>C191*(E164+K164)</f>
        <v>23.76</v>
      </c>
      <c r="F205" t="str">
        <f t="shared" si="21"/>
        <v>kg ww</v>
      </c>
      <c r="G205" s="32" t="str">
        <f t="shared" ref="G205:G206" si="23">B191&amp;" * "&amp;D166</f>
        <v>TC_rigid_PE_COL_SOR  * rigid_PS_COL_SOR_mass_mechanical</v>
      </c>
      <c r="H205" s="220"/>
      <c r="I205" s="6" t="str">
        <f t="shared" si="19"/>
        <v>PE</v>
      </c>
      <c r="J205" t="s">
        <v>371</v>
      </c>
      <c r="K205" s="33">
        <f t="shared" si="17"/>
        <v>3.2399999999999984</v>
      </c>
      <c r="L205" t="str">
        <f t="shared" si="22"/>
        <v>kg ww</v>
      </c>
      <c r="M205" t="str">
        <f t="shared" si="20"/>
        <v>rigid_PE_COL_SOR_mass_mechanical - rigid_PE_SOR_RE_mass_mechanical</v>
      </c>
      <c r="N205" s="12" t="s">
        <v>1005</v>
      </c>
    </row>
    <row r="206" spans="1:14" ht="15" customHeight="1" x14ac:dyDescent="0.2">
      <c r="A206" s="12"/>
      <c r="B206" s="220"/>
      <c r="C206" s="6" t="str">
        <f t="shared" si="16"/>
        <v>PP</v>
      </c>
      <c r="D206" t="s">
        <v>354</v>
      </c>
      <c r="E206">
        <f>C192*(E165+K165)</f>
        <v>44.099999999999994</v>
      </c>
      <c r="F206" t="str">
        <f t="shared" si="21"/>
        <v>kg ww</v>
      </c>
      <c r="G206" s="32" t="str">
        <f t="shared" si="23"/>
        <v>TC_rigid_PP_COL_SOR  * rigid_Oth_COL_SOR_mass_mechanical</v>
      </c>
      <c r="H206" s="220"/>
      <c r="I206" s="6" t="str">
        <f t="shared" si="19"/>
        <v>PP</v>
      </c>
      <c r="J206" t="s">
        <v>372</v>
      </c>
      <c r="K206" s="33">
        <f t="shared" si="17"/>
        <v>18.900000000000006</v>
      </c>
      <c r="L206" t="str">
        <f t="shared" si="22"/>
        <v>kg ww</v>
      </c>
      <c r="M206" t="str">
        <f t="shared" si="20"/>
        <v>rigid_PP_COL_SOR_mass_mechanical - rigid_PP_SOR_RE_mass_mechanical</v>
      </c>
      <c r="N206" s="12" t="s">
        <v>1005</v>
      </c>
    </row>
    <row r="207" spans="1:14" ht="15" customHeight="1" x14ac:dyDescent="0.2">
      <c r="A207" s="12"/>
      <c r="B207" s="220"/>
      <c r="C207" s="6" t="str">
        <f t="shared" si="16"/>
        <v>PS</v>
      </c>
      <c r="D207" t="s">
        <v>355</v>
      </c>
      <c r="E207" s="64">
        <f>AVERAGE(C190,C191,C192)*E166</f>
        <v>5.2297000000000002</v>
      </c>
      <c r="F207" t="str">
        <f t="shared" si="21"/>
        <v>kg ww</v>
      </c>
      <c r="G207" s="32" t="str">
        <f>"AVERAGE("&amp;B190&amp;"; "&amp;B191&amp;"; "&amp;B192&amp;") * "&amp;D168</f>
        <v>AVERAGE(TC_rigid_PET_COL_SOR ; TC_rigid_PE_COL_SOR ; TC_rigid_PP_COL_SOR ) * soft_PET_COL_SOR_mass_mechanical</v>
      </c>
      <c r="H207" s="220"/>
      <c r="I207" s="6" t="str">
        <f t="shared" si="19"/>
        <v>PS</v>
      </c>
      <c r="J207" t="s">
        <v>373</v>
      </c>
      <c r="K207" s="33">
        <f t="shared" si="17"/>
        <v>3.7702999999999998</v>
      </c>
      <c r="L207" t="str">
        <f t="shared" si="22"/>
        <v>kg ww</v>
      </c>
      <c r="M207" t="str">
        <f t="shared" si="20"/>
        <v>rigid_PS_COL_SOR_mass_mechanical - rigid_PS_SOR_RE_mass_mechanical</v>
      </c>
      <c r="N207" s="12" t="s">
        <v>1005</v>
      </c>
    </row>
    <row r="208" spans="1:14" ht="15" customHeight="1" x14ac:dyDescent="0.2">
      <c r="A208" s="12"/>
      <c r="B208" s="220"/>
      <c r="C208" s="6" t="str">
        <f t="shared" si="16"/>
        <v>Other</v>
      </c>
      <c r="D208" t="s">
        <v>2658</v>
      </c>
      <c r="E208" s="64">
        <f>AVERAGE(C190,C191,C192)*E167</f>
        <v>26.148499999999991</v>
      </c>
      <c r="F208" t="str">
        <f t="shared" si="21"/>
        <v>kg ww</v>
      </c>
      <c r="G208" s="32" t="str">
        <f>"AVERAGE("&amp;B190&amp;"; "&amp;B191&amp;"; "&amp;B192&amp;") * "&amp;D169</f>
        <v>AVERAGE(TC_rigid_PET_COL_SOR ; TC_rigid_PE_COL_SOR ; TC_rigid_PP_COL_SOR ) * soft_PE_COL_SOR_mass_mechanical</v>
      </c>
      <c r="H208" s="220"/>
      <c r="I208" s="6" t="str">
        <f t="shared" si="19"/>
        <v>Other</v>
      </c>
      <c r="J208" t="s">
        <v>374</v>
      </c>
      <c r="K208" s="33">
        <f t="shared" si="17"/>
        <v>18.851499999999994</v>
      </c>
      <c r="L208" t="str">
        <f t="shared" si="22"/>
        <v>kg ww</v>
      </c>
      <c r="M208" t="str">
        <f t="shared" si="20"/>
        <v>rigid_Oth_COL_SOR_mass_mechanical - rigid_Oth_SOR_RE_mass_mechanical</v>
      </c>
      <c r="N208" s="12" t="s">
        <v>1005</v>
      </c>
    </row>
    <row r="209" spans="1:14" ht="15" customHeight="1" x14ac:dyDescent="0.2">
      <c r="A209" s="12"/>
      <c r="B209" s="220" t="s">
        <v>42</v>
      </c>
      <c r="C209" s="6" t="str">
        <f t="shared" si="16"/>
        <v>PET</v>
      </c>
      <c r="D209" t="s">
        <v>356</v>
      </c>
      <c r="E209">
        <f>C193*(E168+K168)</f>
        <v>0</v>
      </c>
      <c r="F209" t="str">
        <f t="shared" si="21"/>
        <v>kg ww</v>
      </c>
      <c r="G209" s="32" t="str">
        <f>B193&amp;" * "&amp;D170</f>
        <v>TC_soft_PET_COL_SOR  * soft_PP_COL_SOR_mass_mechanical</v>
      </c>
      <c r="H209" s="220" t="s">
        <v>42</v>
      </c>
      <c r="I209" s="6" t="str">
        <f t="shared" si="19"/>
        <v>PET</v>
      </c>
      <c r="J209" t="s">
        <v>375</v>
      </c>
      <c r="K209" s="33">
        <f t="shared" si="17"/>
        <v>0</v>
      </c>
      <c r="L209" t="str">
        <f t="shared" si="22"/>
        <v>kg ww</v>
      </c>
      <c r="M209" t="str">
        <f t="shared" si="20"/>
        <v>soft_PET_COL_SOR_mass_mechanical - soft_PET_SOR_RE_mass_mechanical</v>
      </c>
      <c r="N209" s="12" t="s">
        <v>1005</v>
      </c>
    </row>
    <row r="210" spans="1:14" ht="15" customHeight="1" x14ac:dyDescent="0.2">
      <c r="A210" s="12"/>
      <c r="B210" s="220"/>
      <c r="C210" s="6" t="str">
        <f t="shared" si="16"/>
        <v>PE</v>
      </c>
      <c r="D210" t="s">
        <v>357</v>
      </c>
      <c r="E210">
        <f>C194*(E169+K169)</f>
        <v>237.6</v>
      </c>
      <c r="F210" t="str">
        <f t="shared" si="21"/>
        <v>kg ww</v>
      </c>
      <c r="G210" s="32" t="str">
        <f t="shared" ref="G210:G211" si="24">B194&amp;" * "&amp;D171</f>
        <v>TC_soft_PE_COL_SOR  * soft_PS_COL_SOR_mass_mechanical</v>
      </c>
      <c r="H210" s="220"/>
      <c r="I210" s="6" t="str">
        <f t="shared" si="19"/>
        <v>PE</v>
      </c>
      <c r="J210" t="s">
        <v>376</v>
      </c>
      <c r="K210" s="33">
        <f t="shared" si="17"/>
        <v>32.400000000000006</v>
      </c>
      <c r="L210" t="str">
        <f t="shared" si="22"/>
        <v>kg ww</v>
      </c>
      <c r="M210" t="str">
        <f t="shared" si="20"/>
        <v>soft_PE_COL_SOR_mass_mechanical - soft_PE_SOR_RE_mass_mechanical</v>
      </c>
      <c r="N210" s="12" t="s">
        <v>1005</v>
      </c>
    </row>
    <row r="211" spans="1:14" ht="15" customHeight="1" x14ac:dyDescent="0.2">
      <c r="A211" s="12"/>
      <c r="B211" s="220"/>
      <c r="C211" s="6" t="str">
        <f t="shared" si="16"/>
        <v>PP</v>
      </c>
      <c r="D211" t="s">
        <v>358</v>
      </c>
      <c r="E211">
        <f>C195*(E170+K170)</f>
        <v>0</v>
      </c>
      <c r="F211" t="str">
        <f t="shared" si="21"/>
        <v>kg ww</v>
      </c>
      <c r="G211" s="32" t="str">
        <f t="shared" si="24"/>
        <v>TC_soft_PP_COL_SOR  * soft_Oth_COL_SOR_mass_mechanical</v>
      </c>
      <c r="H211" s="220"/>
      <c r="I211" s="6" t="str">
        <f t="shared" si="19"/>
        <v>PP</v>
      </c>
      <c r="J211" t="s">
        <v>377</v>
      </c>
      <c r="K211" s="33">
        <f t="shared" si="17"/>
        <v>0</v>
      </c>
      <c r="L211" t="str">
        <f t="shared" si="22"/>
        <v>kg ww</v>
      </c>
      <c r="M211" t="str">
        <f t="shared" si="20"/>
        <v>soft_PP_COL_SOR_mass_mechanical - soft_PP_SOR_RE_mass_mechanical</v>
      </c>
      <c r="N211" s="12" t="s">
        <v>1005</v>
      </c>
    </row>
    <row r="212" spans="1:14" ht="15" customHeight="1" x14ac:dyDescent="0.2">
      <c r="A212" s="12"/>
      <c r="B212" s="220"/>
      <c r="C212" s="6" t="str">
        <f t="shared" si="16"/>
        <v>PS</v>
      </c>
      <c r="D212" t="s">
        <v>359</v>
      </c>
      <c r="E212">
        <f>AVERAGE(C193,C194,C195)*E171</f>
        <v>0</v>
      </c>
      <c r="F212" t="str">
        <f t="shared" si="21"/>
        <v>kg ww</v>
      </c>
      <c r="G212" s="32" t="str">
        <f>"AVERAGE("&amp;B193&amp;"; "&amp;B194&amp;"; "&amp;B195&amp;") * "&amp;D173</f>
        <v xml:space="preserve">AVERAGE(TC_soft_PET_COL_SOR ; TC_soft_PE_COL_SOR ; TC_soft_PP_COL_SOR ) * </v>
      </c>
      <c r="H212" s="220"/>
      <c r="I212" s="6" t="str">
        <f t="shared" si="19"/>
        <v>PS</v>
      </c>
      <c r="J212" t="s">
        <v>378</v>
      </c>
      <c r="K212" s="33">
        <f t="shared" si="17"/>
        <v>0</v>
      </c>
      <c r="L212" t="str">
        <f t="shared" si="22"/>
        <v>kg ww</v>
      </c>
      <c r="M212" t="str">
        <f t="shared" si="20"/>
        <v>soft_PS_COL_SOR_mass_mechanical - soft_PS_SOR_RE_mass_mechanical</v>
      </c>
      <c r="N212" s="12" t="s">
        <v>1005</v>
      </c>
    </row>
    <row r="213" spans="1:14" ht="15" customHeight="1" x14ac:dyDescent="0.2">
      <c r="A213" s="12"/>
      <c r="B213" s="227"/>
      <c r="C213" s="60" t="str">
        <f t="shared" si="16"/>
        <v>Other</v>
      </c>
      <c r="D213" s="44" t="s">
        <v>360</v>
      </c>
      <c r="E213" s="60">
        <f>AVERAGE(C193,C194,C195)*E172</f>
        <v>52.297000000000004</v>
      </c>
      <c r="F213" s="44" t="str">
        <f t="shared" si="21"/>
        <v>kg ww</v>
      </c>
      <c r="G213" s="61" t="str">
        <f>"AVERAGE("&amp;B193&amp;"; "&amp;B194&amp;"; "&amp;B195&amp;") * "&amp;D174</f>
        <v>AVERAGE(TC_soft_PET_COL_SOR ; TC_soft_PE_COL_SOR ; TC_soft_PP_COL_SOR ) * Unit</v>
      </c>
      <c r="H213" s="220"/>
      <c r="I213" s="6" t="str">
        <f t="shared" si="19"/>
        <v>Other</v>
      </c>
      <c r="J213" t="s">
        <v>379</v>
      </c>
      <c r="K213" s="33">
        <f t="shared" si="17"/>
        <v>37.703000000000024</v>
      </c>
      <c r="L213" t="str">
        <f t="shared" si="22"/>
        <v>kg ww</v>
      </c>
      <c r="M213" t="str">
        <f t="shared" si="20"/>
        <v>soft_Oth_COL_SOR_mass_mechanical - soft_Oth_SOR_RE_mass_mechanical</v>
      </c>
      <c r="N213" s="12" t="s">
        <v>1005</v>
      </c>
    </row>
    <row r="214" spans="1:14" ht="25" customHeight="1" x14ac:dyDescent="0.2">
      <c r="A214" s="12"/>
      <c r="B214" s="214" t="s">
        <v>81</v>
      </c>
      <c r="C214" s="214"/>
      <c r="D214" s="214"/>
      <c r="E214" s="214"/>
      <c r="F214" s="214"/>
      <c r="G214" s="214"/>
      <c r="H214" s="214"/>
      <c r="I214" s="214"/>
      <c r="J214" s="214"/>
      <c r="K214" s="214"/>
      <c r="L214" s="214"/>
      <c r="M214" s="214"/>
      <c r="N214" s="12"/>
    </row>
    <row r="215" spans="1:14" s="2" customFormat="1" ht="15" customHeight="1" x14ac:dyDescent="0.2">
      <c r="A215" s="11"/>
      <c r="B215" s="2" t="str">
        <f>B174</f>
        <v>Parameter</v>
      </c>
      <c r="C215" s="2" t="str">
        <f>C174</f>
        <v>Value</v>
      </c>
      <c r="D215" s="2" t="str">
        <f>D174</f>
        <v>Unit</v>
      </c>
      <c r="E215" s="2" t="str">
        <f>E174</f>
        <v>Description</v>
      </c>
      <c r="G215" s="4"/>
      <c r="H215" s="2" t="str">
        <f>H174</f>
        <v>Parameter</v>
      </c>
      <c r="I215" s="2" t="str">
        <f>I174</f>
        <v>Value</v>
      </c>
      <c r="J215" s="2" t="str">
        <f>J174</f>
        <v>Unit</v>
      </c>
      <c r="K215" s="2" t="str">
        <f>K174</f>
        <v>Description</v>
      </c>
      <c r="N215" s="11"/>
    </row>
    <row r="216" spans="1:14" ht="15" customHeight="1" x14ac:dyDescent="0.2">
      <c r="A216" s="12"/>
      <c r="B216" t="s">
        <v>361</v>
      </c>
      <c r="C216">
        <f>SUM(E199:E203)</f>
        <v>227.25</v>
      </c>
      <c r="D216" t="s">
        <v>10</v>
      </c>
      <c r="E216" t="s">
        <v>1181</v>
      </c>
      <c r="G216" s="32"/>
      <c r="H216" t="s">
        <v>380</v>
      </c>
      <c r="I216" s="33">
        <f>SUM(K199:K203)</f>
        <v>42.75</v>
      </c>
      <c r="J216" t="s">
        <v>10</v>
      </c>
      <c r="K216" t="s">
        <v>1182</v>
      </c>
      <c r="N216" s="12"/>
    </row>
    <row r="217" spans="1:14" ht="15" customHeight="1" x14ac:dyDescent="0.2">
      <c r="A217" s="12"/>
      <c r="B217" t="s">
        <v>362</v>
      </c>
      <c r="C217">
        <f>SUM(E204:E208)</f>
        <v>129.11819999999997</v>
      </c>
      <c r="D217" t="str">
        <f>D216</f>
        <v>kg ww</v>
      </c>
      <c r="E217" t="s">
        <v>1183</v>
      </c>
      <c r="G217" s="32"/>
      <c r="H217" t="s">
        <v>381</v>
      </c>
      <c r="I217" s="33">
        <f>SUM(K204:K208)</f>
        <v>50.881799999999998</v>
      </c>
      <c r="J217" t="str">
        <f>J216</f>
        <v>kg ww</v>
      </c>
      <c r="K217" t="s">
        <v>1184</v>
      </c>
      <c r="N217" s="12"/>
    </row>
    <row r="218" spans="1:14" ht="15" customHeight="1" thickBot="1" x14ac:dyDescent="0.25">
      <c r="A218" s="12"/>
      <c r="B218" s="8" t="s">
        <v>363</v>
      </c>
      <c r="C218" s="8">
        <f>SUM(E209:E213)</f>
        <v>289.89699999999999</v>
      </c>
      <c r="D218" s="8" t="str">
        <f t="shared" ref="D218:D219" si="25">D217</f>
        <v>kg ww</v>
      </c>
      <c r="E218" s="8" t="s">
        <v>1185</v>
      </c>
      <c r="F218" s="8"/>
      <c r="G218" s="87"/>
      <c r="H218" s="8" t="s">
        <v>382</v>
      </c>
      <c r="I218" s="34">
        <f>SUM(K209:K213)</f>
        <v>70.103000000000037</v>
      </c>
      <c r="J218" s="8" t="str">
        <f t="shared" ref="J218:J219" si="26">J217</f>
        <v>kg ww</v>
      </c>
      <c r="K218" s="8" t="s">
        <v>1186</v>
      </c>
      <c r="L218" s="8"/>
      <c r="M218" s="8"/>
      <c r="N218" s="12"/>
    </row>
    <row r="219" spans="1:14" ht="15" customHeight="1" thickTop="1" x14ac:dyDescent="0.2">
      <c r="A219" s="12"/>
      <c r="B219" s="44" t="s">
        <v>364</v>
      </c>
      <c r="C219" s="44">
        <f>SUM(C216:C218)</f>
        <v>646.26520000000005</v>
      </c>
      <c r="D219" s="44" t="str">
        <f t="shared" si="25"/>
        <v>kg ww</v>
      </c>
      <c r="E219" s="44" t="s">
        <v>1187</v>
      </c>
      <c r="F219" s="44"/>
      <c r="G219" s="61"/>
      <c r="H219" s="44" t="s">
        <v>383</v>
      </c>
      <c r="I219" s="62">
        <f>SUM(I216:I218)</f>
        <v>163.73480000000004</v>
      </c>
      <c r="J219" s="44" t="str">
        <f t="shared" si="26"/>
        <v>kg ww</v>
      </c>
      <c r="K219" s="44" t="s">
        <v>1188</v>
      </c>
      <c r="L219" s="44"/>
      <c r="M219" s="44"/>
      <c r="N219" s="12"/>
    </row>
    <row r="220" spans="1:14" ht="15" customHeight="1" x14ac:dyDescent="0.2">
      <c r="A220" s="12"/>
      <c r="B220" s="125" t="s">
        <v>2704</v>
      </c>
      <c r="C220" s="125" t="str">
        <f>IF(C219+I219=C178+I178,"true")</f>
        <v>true</v>
      </c>
      <c r="D220" s="125"/>
      <c r="E220" s="125"/>
      <c r="F220" s="125"/>
      <c r="G220" s="125"/>
      <c r="H220" s="125"/>
      <c r="I220" s="125"/>
      <c r="J220" s="125"/>
      <c r="K220" s="125"/>
      <c r="L220" s="125"/>
      <c r="M220" s="125"/>
      <c r="N220" s="12"/>
    </row>
    <row r="221" spans="1:14" ht="15" customHeight="1" x14ac:dyDescent="0.2">
      <c r="A221" s="12"/>
      <c r="B221" s="12"/>
      <c r="C221" s="12"/>
      <c r="D221" s="12"/>
      <c r="E221" s="12"/>
      <c r="F221" s="12"/>
      <c r="G221" s="12"/>
      <c r="H221" s="12"/>
      <c r="I221" s="12"/>
      <c r="J221" s="12"/>
      <c r="K221" s="12"/>
      <c r="L221" s="12"/>
      <c r="M221" s="12"/>
      <c r="N221" s="12"/>
    </row>
    <row r="222" spans="1:14" ht="15" customHeight="1" x14ac:dyDescent="0.2">
      <c r="A222" s="12"/>
      <c r="B222" s="12"/>
      <c r="C222" s="65"/>
      <c r="D222" s="12"/>
      <c r="E222" s="12"/>
      <c r="F222" s="12"/>
      <c r="G222" s="12"/>
      <c r="H222" s="12"/>
      <c r="I222" s="12"/>
      <c r="J222" s="12"/>
      <c r="K222" s="12"/>
      <c r="L222" s="12"/>
      <c r="M222" s="12"/>
      <c r="N222" s="12"/>
    </row>
    <row r="223" spans="1:14" ht="15" customHeight="1" x14ac:dyDescent="0.2">
      <c r="A223" s="12"/>
      <c r="B223" s="12"/>
      <c r="C223" s="12"/>
      <c r="D223" s="12"/>
      <c r="E223" s="12"/>
      <c r="F223" s="12"/>
      <c r="G223" s="12"/>
      <c r="H223" s="12"/>
      <c r="I223" s="12"/>
      <c r="J223" s="12"/>
      <c r="K223" s="12"/>
      <c r="L223" s="12"/>
      <c r="M223" s="12"/>
      <c r="N223" s="12"/>
    </row>
    <row r="224" spans="1:14" ht="25" customHeight="1" x14ac:dyDescent="0.2">
      <c r="A224" s="12"/>
      <c r="B224" s="214" t="s">
        <v>82</v>
      </c>
      <c r="C224" s="214"/>
      <c r="D224" s="214"/>
      <c r="E224" s="214"/>
      <c r="F224" s="214"/>
      <c r="G224" s="214"/>
      <c r="H224" s="214"/>
      <c r="I224" s="214"/>
      <c r="J224" s="214"/>
      <c r="K224" s="214"/>
      <c r="L224" s="214"/>
      <c r="M224" s="214"/>
      <c r="N224" s="12"/>
    </row>
    <row r="225" spans="1:14" ht="15" customHeight="1" x14ac:dyDescent="0.2">
      <c r="A225" s="12"/>
      <c r="B225" s="114" t="str">
        <f t="shared" ref="B225:G225" si="27">B186</f>
        <v>Parameters</v>
      </c>
      <c r="C225" s="114" t="str">
        <f t="shared" si="27"/>
        <v>Value</v>
      </c>
      <c r="D225" s="114" t="str">
        <f t="shared" si="27"/>
        <v>Unit</v>
      </c>
      <c r="E225" s="114" t="str">
        <f t="shared" si="27"/>
        <v>Min</v>
      </c>
      <c r="F225" s="114" t="str">
        <f t="shared" si="27"/>
        <v>Max</v>
      </c>
      <c r="G225" s="114" t="str">
        <f t="shared" si="27"/>
        <v>Description</v>
      </c>
      <c r="H225" s="114" t="s">
        <v>112</v>
      </c>
      <c r="I225" s="114"/>
      <c r="J225" s="114"/>
      <c r="K225" s="114"/>
      <c r="L225" s="114"/>
      <c r="M225" s="114"/>
      <c r="N225" s="12"/>
    </row>
    <row r="226" spans="1:14" s="2" customFormat="1" ht="15" customHeight="1" x14ac:dyDescent="0.2">
      <c r="A226" s="11"/>
      <c r="B226" s="106" t="str">
        <f>'info, structure, parameters'!A157</f>
        <v xml:space="preserve">TC_bottle_PET_SOR_RE </v>
      </c>
      <c r="C226" s="106">
        <f>'info, structure, parameters'!B157</f>
        <v>0.83</v>
      </c>
      <c r="D226" s="106" t="str">
        <f>'info, structure, parameters'!C157</f>
        <v>%ww</v>
      </c>
      <c r="E226" s="106">
        <f>'info, structure, parameters'!D157</f>
        <v>0.83</v>
      </c>
      <c r="F226" s="106">
        <f>'info, structure, parameters'!E157</f>
        <v>0.83</v>
      </c>
      <c r="G226" s="106" t="str">
        <f>'info, structure, parameters'!F157</f>
        <v>Transfer coefficient of sorted bottle PET that is reprocessed</v>
      </c>
      <c r="H226" s="106">
        <f>'info, structure, parameters'!G157</f>
        <v>2</v>
      </c>
      <c r="I226" s="106"/>
      <c r="J226" s="106"/>
      <c r="K226" s="106"/>
      <c r="L226" s="106"/>
      <c r="M226" s="106"/>
      <c r="N226" s="11"/>
    </row>
    <row r="227" spans="1:14" ht="15" customHeight="1" x14ac:dyDescent="0.2">
      <c r="A227" s="12"/>
      <c r="B227" s="106" t="str">
        <f>'info, structure, parameters'!A158</f>
        <v xml:space="preserve">TC_bottle_PE_SOR_RE </v>
      </c>
      <c r="C227" s="106">
        <f>'info, structure, parameters'!B158</f>
        <v>0.93</v>
      </c>
      <c r="D227" s="106" t="str">
        <f>'info, structure, parameters'!C158</f>
        <v>%ww</v>
      </c>
      <c r="E227" s="106">
        <f>'info, structure, parameters'!D158</f>
        <v>0.93</v>
      </c>
      <c r="F227" s="106">
        <f>'info, structure, parameters'!E158</f>
        <v>0.93</v>
      </c>
      <c r="G227" s="106" t="str">
        <f>'info, structure, parameters'!F158</f>
        <v>Transfer coefficient of sorted bottle PE that is reprocessed</v>
      </c>
      <c r="H227" s="106">
        <f>'info, structure, parameters'!G158</f>
        <v>2</v>
      </c>
      <c r="I227" s="106"/>
      <c r="J227" s="106"/>
      <c r="K227" s="106"/>
      <c r="L227" s="106"/>
      <c r="M227" s="106"/>
      <c r="N227" s="12"/>
    </row>
    <row r="228" spans="1:14" ht="15" customHeight="1" x14ac:dyDescent="0.2">
      <c r="A228" s="12"/>
      <c r="B228" s="106" t="str">
        <f>'info, structure, parameters'!A159</f>
        <v xml:space="preserve">TC_bottle_PP_SOR_RE </v>
      </c>
      <c r="C228" s="106">
        <f>'info, structure, parameters'!B159</f>
        <v>0.84</v>
      </c>
      <c r="D228" s="106" t="str">
        <f>'info, structure, parameters'!C159</f>
        <v>%ww</v>
      </c>
      <c r="E228" s="106">
        <f>'info, structure, parameters'!D159</f>
        <v>0.81</v>
      </c>
      <c r="F228" s="106">
        <f>'info, structure, parameters'!E159</f>
        <v>0.84</v>
      </c>
      <c r="G228" s="106" t="str">
        <f>'info, structure, parameters'!F159</f>
        <v>Transfer coefficient of sorted bottle PP that is reprocessed</v>
      </c>
      <c r="H228" s="106">
        <f>'info, structure, parameters'!G159</f>
        <v>2</v>
      </c>
      <c r="I228" s="106"/>
      <c r="J228" s="106"/>
      <c r="K228" s="106"/>
      <c r="L228" s="106"/>
      <c r="M228" s="106"/>
      <c r="N228" s="12"/>
    </row>
    <row r="229" spans="1:14" ht="15" customHeight="1" x14ac:dyDescent="0.2">
      <c r="A229" s="12"/>
      <c r="B229" s="106" t="str">
        <f>'info, structure, parameters'!A160</f>
        <v xml:space="preserve">TC_rigid_PET_SOR_RE </v>
      </c>
      <c r="C229" s="106">
        <f>'info, structure, parameters'!B160</f>
        <v>0.83</v>
      </c>
      <c r="D229" s="106" t="str">
        <f>'info, structure, parameters'!C160</f>
        <v>%ww</v>
      </c>
      <c r="E229" s="106">
        <f>'info, structure, parameters'!D160</f>
        <v>0.78</v>
      </c>
      <c r="F229" s="106">
        <f>'info, structure, parameters'!E160</f>
        <v>0.83</v>
      </c>
      <c r="G229" s="106" t="str">
        <f>'info, structure, parameters'!F160</f>
        <v>Transfer coefficient of sorted rigid PET that is reprocessed</v>
      </c>
      <c r="H229" s="106">
        <f>'info, structure, parameters'!G160</f>
        <v>2</v>
      </c>
      <c r="I229" s="106"/>
      <c r="J229" s="106"/>
      <c r="K229" s="106"/>
      <c r="L229" s="106"/>
      <c r="M229" s="106"/>
      <c r="N229" s="12"/>
    </row>
    <row r="230" spans="1:14" ht="15" customHeight="1" x14ac:dyDescent="0.2">
      <c r="A230" s="12"/>
      <c r="B230" s="106" t="str">
        <f>'info, structure, parameters'!A161</f>
        <v xml:space="preserve">TC_rigid_PE_SOR_RE </v>
      </c>
      <c r="C230" s="106">
        <f>'info, structure, parameters'!B161</f>
        <v>0.85</v>
      </c>
      <c r="D230" s="106" t="str">
        <f>'info, structure, parameters'!C161</f>
        <v>%ww</v>
      </c>
      <c r="E230" s="106">
        <f>'info, structure, parameters'!D161</f>
        <v>0.8</v>
      </c>
      <c r="F230" s="106">
        <f>'info, structure, parameters'!E161</f>
        <v>0.85</v>
      </c>
      <c r="G230" s="106" t="str">
        <f>'info, structure, parameters'!F161</f>
        <v>Transfer coefficient of sorted rigid PE that is reprocessed</v>
      </c>
      <c r="H230" s="106">
        <f>'info, structure, parameters'!G161</f>
        <v>2</v>
      </c>
      <c r="I230" s="106"/>
      <c r="J230" s="106"/>
      <c r="K230" s="106"/>
      <c r="L230" s="106"/>
      <c r="M230" s="106"/>
      <c r="N230" s="12"/>
    </row>
    <row r="231" spans="1:14" ht="15" customHeight="1" x14ac:dyDescent="0.2">
      <c r="A231" s="12"/>
      <c r="B231" s="106" t="str">
        <f>'info, structure, parameters'!A162</f>
        <v xml:space="preserve">TC_rigid_PP_SOR_RE </v>
      </c>
      <c r="C231" s="106">
        <f>'info, structure, parameters'!B162</f>
        <v>0.84</v>
      </c>
      <c r="D231" s="106" t="str">
        <f>'info, structure, parameters'!C162</f>
        <v>%ww</v>
      </c>
      <c r="E231" s="106">
        <f>'info, structure, parameters'!D162</f>
        <v>0.8</v>
      </c>
      <c r="F231" s="106">
        <f>'info, structure, parameters'!E162</f>
        <v>0.84</v>
      </c>
      <c r="G231" s="106" t="str">
        <f>'info, structure, parameters'!F162</f>
        <v>Transfer coefficient of sorted rigid PP that is reprocessed</v>
      </c>
      <c r="H231" s="106">
        <f>'info, structure, parameters'!G162</f>
        <v>2</v>
      </c>
      <c r="I231" s="106"/>
      <c r="J231" s="106"/>
      <c r="K231" s="106"/>
      <c r="L231" s="106"/>
      <c r="M231" s="106"/>
      <c r="N231" s="12"/>
    </row>
    <row r="232" spans="1:14" ht="15" customHeight="1" x14ac:dyDescent="0.2">
      <c r="A232" s="12"/>
      <c r="B232" s="106" t="str">
        <f>'info, structure, parameters'!A163</f>
        <v xml:space="preserve">TC_soft_PET_SOR_RE </v>
      </c>
      <c r="C232" s="106">
        <f>'info, structure, parameters'!B163</f>
        <v>0.83</v>
      </c>
      <c r="D232" s="106" t="str">
        <f>'info, structure, parameters'!C163</f>
        <v>%ww</v>
      </c>
      <c r="E232" s="106">
        <f>'info, structure, parameters'!D163</f>
        <v>0.78</v>
      </c>
      <c r="F232" s="106">
        <f>'info, structure, parameters'!E163</f>
        <v>0.83</v>
      </c>
      <c r="G232" s="106" t="str">
        <f>'info, structure, parameters'!F163</f>
        <v>Transfer coefficient of sorted soft PET that is reprocessed</v>
      </c>
      <c r="H232" s="106">
        <f>'info, structure, parameters'!G163</f>
        <v>2</v>
      </c>
      <c r="I232" s="106"/>
      <c r="J232" s="106"/>
      <c r="K232" s="106"/>
      <c r="L232" s="106"/>
      <c r="M232" s="106"/>
      <c r="N232" s="12"/>
    </row>
    <row r="233" spans="1:14" ht="15" customHeight="1" x14ac:dyDescent="0.2">
      <c r="A233" s="12"/>
      <c r="B233" s="106" t="str">
        <f>'info, structure, parameters'!A164</f>
        <v xml:space="preserve">TC_soft_PE_SOR_RE </v>
      </c>
      <c r="C233" s="106">
        <f>'info, structure, parameters'!B164</f>
        <v>0.85</v>
      </c>
      <c r="D233" s="106" t="str">
        <f>'info, structure, parameters'!C164</f>
        <v>%ww</v>
      </c>
      <c r="E233" s="106">
        <f>'info, structure, parameters'!D164</f>
        <v>0.72</v>
      </c>
      <c r="F233" s="106">
        <f>'info, structure, parameters'!E164</f>
        <v>0.85</v>
      </c>
      <c r="G233" s="106" t="str">
        <f>'info, structure, parameters'!F164</f>
        <v>Transfer coefficient of sorted soft PE that is reprocessed</v>
      </c>
      <c r="H233" s="106">
        <f>'info, structure, parameters'!G164</f>
        <v>2</v>
      </c>
      <c r="I233" s="106"/>
      <c r="J233" s="106"/>
      <c r="K233" s="106"/>
      <c r="L233" s="106"/>
      <c r="M233" s="106"/>
      <c r="N233" s="12"/>
    </row>
    <row r="234" spans="1:14" ht="15" customHeight="1" x14ac:dyDescent="0.2">
      <c r="A234" s="12"/>
      <c r="B234" s="106" t="str">
        <f>'info, structure, parameters'!A165</f>
        <v xml:space="preserve">TC_soft_PP_SOR_RE </v>
      </c>
      <c r="C234" s="106">
        <f>'info, structure, parameters'!B165</f>
        <v>0.84</v>
      </c>
      <c r="D234" s="106" t="str">
        <f>'info, structure, parameters'!C165</f>
        <v>%ww</v>
      </c>
      <c r="E234" s="106">
        <f>'info, structure, parameters'!D165</f>
        <v>0.72</v>
      </c>
      <c r="F234" s="106">
        <f>'info, structure, parameters'!E165</f>
        <v>0.84</v>
      </c>
      <c r="G234" s="106" t="str">
        <f>'info, structure, parameters'!F165</f>
        <v>Transfer coefficient of sorted soft PP that is reprocessed</v>
      </c>
      <c r="H234" s="106">
        <f>'info, structure, parameters'!G165</f>
        <v>2</v>
      </c>
      <c r="I234" s="106"/>
      <c r="J234" s="106"/>
      <c r="K234" s="106"/>
      <c r="L234" s="106"/>
      <c r="M234" s="106"/>
      <c r="N234" s="12"/>
    </row>
    <row r="235" spans="1:14" ht="25" customHeight="1" x14ac:dyDescent="0.2">
      <c r="A235" s="12"/>
      <c r="B235" s="214" t="s">
        <v>92</v>
      </c>
      <c r="C235" s="214"/>
      <c r="D235" s="214"/>
      <c r="E235" s="214"/>
      <c r="F235" s="214"/>
      <c r="G235" s="214"/>
      <c r="H235" s="214"/>
      <c r="I235" s="214"/>
      <c r="J235" s="214"/>
      <c r="K235" s="214"/>
      <c r="L235" s="214"/>
      <c r="M235" s="214"/>
      <c r="N235" s="12"/>
    </row>
    <row r="236" spans="1:14" ht="25" customHeight="1" x14ac:dyDescent="0.2">
      <c r="A236" s="12"/>
      <c r="B236" s="214" t="s">
        <v>155</v>
      </c>
      <c r="C236" s="214"/>
      <c r="D236" s="214"/>
      <c r="E236" s="214"/>
      <c r="F236" s="214"/>
      <c r="G236" s="223"/>
      <c r="H236" s="214" t="s">
        <v>59</v>
      </c>
      <c r="I236" s="214"/>
      <c r="J236" s="214"/>
      <c r="K236" s="214"/>
      <c r="L236" s="214"/>
      <c r="M236" s="214"/>
      <c r="N236" s="12"/>
    </row>
    <row r="237" spans="1:14" ht="15" customHeight="1" x14ac:dyDescent="0.2">
      <c r="A237" s="12"/>
      <c r="B237" s="2" t="str">
        <f>B198</f>
        <v>Fraction</v>
      </c>
      <c r="C237" s="2" t="str">
        <f>C198</f>
        <v>Sub-fraction</v>
      </c>
      <c r="D237" s="2" t="s">
        <v>99</v>
      </c>
      <c r="E237" s="2" t="str">
        <f>E198</f>
        <v>Value</v>
      </c>
      <c r="F237" s="2" t="str">
        <f>F198</f>
        <v>Unit</v>
      </c>
      <c r="G237" s="4" t="str">
        <f>G198</f>
        <v>Equation</v>
      </c>
      <c r="H237" s="2" t="str">
        <f>H198</f>
        <v>Fraction</v>
      </c>
      <c r="I237" s="2" t="str">
        <f>I198</f>
        <v>Sub-fraction</v>
      </c>
      <c r="J237" s="2" t="str">
        <f>D237</f>
        <v>Name</v>
      </c>
      <c r="K237" s="2" t="str">
        <f>K198</f>
        <v>Value</v>
      </c>
      <c r="L237" s="2" t="str">
        <f>L198</f>
        <v>Unit</v>
      </c>
      <c r="M237" s="2" t="str">
        <f>M198</f>
        <v>Equation</v>
      </c>
      <c r="N237" s="12"/>
    </row>
    <row r="238" spans="1:14" ht="15" customHeight="1" x14ac:dyDescent="0.2">
      <c r="A238" s="12"/>
      <c r="B238" s="220" t="s">
        <v>14</v>
      </c>
      <c r="C238" s="6" t="str">
        <f>C199</f>
        <v>PET</v>
      </c>
      <c r="D238" t="s">
        <v>384</v>
      </c>
      <c r="E238">
        <f>C226*E199</f>
        <v>142.60229999999999</v>
      </c>
      <c r="F238" t="s">
        <v>10</v>
      </c>
      <c r="G238" s="32" t="str">
        <f>B226&amp;" * "&amp;D199</f>
        <v>TC_bottle_PET_SOR_RE  * bottle_PET_SOR_RE_mass_mechanical</v>
      </c>
      <c r="H238" s="220" t="s">
        <v>14</v>
      </c>
      <c r="I238" s="6" t="str">
        <f>C238</f>
        <v>PET</v>
      </c>
      <c r="J238" t="s">
        <v>403</v>
      </c>
      <c r="K238">
        <f>E199-E238</f>
        <v>29.207700000000017</v>
      </c>
      <c r="L238" t="s">
        <v>10</v>
      </c>
      <c r="M238" t="str">
        <f>D199&amp;" - "&amp;D238</f>
        <v>bottle_PET_SOR_RE_mass_mechanical - bottle_PET_RE_NEW_mass_mechanical</v>
      </c>
      <c r="N238" s="12" t="s">
        <v>1005</v>
      </c>
    </row>
    <row r="239" spans="1:14" ht="15" customHeight="1" x14ac:dyDescent="0.2">
      <c r="A239" s="12"/>
      <c r="B239" s="220"/>
      <c r="C239" s="6" t="str">
        <f t="shared" ref="C239:C252" si="28">C200</f>
        <v>PE</v>
      </c>
      <c r="D239" t="s">
        <v>385</v>
      </c>
      <c r="E239">
        <f>C227*E200</f>
        <v>51.559200000000004</v>
      </c>
      <c r="F239" t="str">
        <f>F238</f>
        <v>kg ww</v>
      </c>
      <c r="G239" s="32" t="str">
        <f>B227&amp;" * "&amp;D200</f>
        <v>TC_bottle_PE_SOR_RE  * bottle_PE_SOR_RE_mass_mechanical</v>
      </c>
      <c r="H239" s="220"/>
      <c r="I239" s="6" t="str">
        <f t="shared" ref="I239:I252" si="29">C239</f>
        <v>PE</v>
      </c>
      <c r="J239" t="s">
        <v>404</v>
      </c>
      <c r="K239">
        <f>E200-E239</f>
        <v>3.8807999999999936</v>
      </c>
      <c r="L239" t="str">
        <f>L238</f>
        <v>kg ww</v>
      </c>
      <c r="M239" t="str">
        <f t="shared" ref="M239:M252" si="30">D200&amp;" - "&amp;D239</f>
        <v>bottle_PE_SOR_RE_mass_mechanical - bottle_PE_RE_NEW_mass_mechanical</v>
      </c>
      <c r="N239" s="12" t="s">
        <v>1005</v>
      </c>
    </row>
    <row r="240" spans="1:14" ht="15" customHeight="1" x14ac:dyDescent="0.2">
      <c r="A240" s="12"/>
      <c r="B240" s="220"/>
      <c r="C240" s="6" t="str">
        <f t="shared" si="28"/>
        <v>PP</v>
      </c>
      <c r="D240" t="s">
        <v>386</v>
      </c>
      <c r="E240">
        <f>C228*E201</f>
        <v>0</v>
      </c>
      <c r="F240" t="str">
        <f t="shared" ref="F240:F252" si="31">F239</f>
        <v>kg ww</v>
      </c>
      <c r="G240" s="32" t="str">
        <f t="shared" ref="G240" si="32">B228&amp;" * "&amp;D201</f>
        <v>TC_bottle_PP_SOR_RE  * bottle_PP_SOR_RE_mass_mechanical</v>
      </c>
      <c r="H240" s="220"/>
      <c r="I240" s="6" t="str">
        <f t="shared" si="29"/>
        <v>PP</v>
      </c>
      <c r="J240" t="s">
        <v>405</v>
      </c>
      <c r="K240">
        <f>E201-E240</f>
        <v>0</v>
      </c>
      <c r="L240" t="str">
        <f t="shared" ref="L240:L252" si="33">L239</f>
        <v>kg ww</v>
      </c>
      <c r="M240" t="str">
        <f t="shared" si="30"/>
        <v>bottle_PP_SOR_RE_mass_mechanical - bottle_PP_RE_NEW_mass_mechanical</v>
      </c>
      <c r="N240" s="12" t="s">
        <v>1005</v>
      </c>
    </row>
    <row r="241" spans="1:41" ht="15" customHeight="1" x14ac:dyDescent="0.2">
      <c r="A241" s="12"/>
      <c r="B241" s="220"/>
      <c r="C241" s="6" t="str">
        <f t="shared" si="28"/>
        <v>PS</v>
      </c>
      <c r="D241" t="s">
        <v>387</v>
      </c>
      <c r="E241">
        <f>AVERAGE(C226,C227,C228)*E202</f>
        <v>0</v>
      </c>
      <c r="F241" t="str">
        <f t="shared" si="31"/>
        <v>kg ww</v>
      </c>
      <c r="G241" s="32" t="str">
        <f>"AVERAGE("&amp;B226&amp;"; "&amp;B227&amp;"; "&amp;B228&amp;") * "&amp;D202</f>
        <v>AVERAGE(TC_bottle_PET_SOR_RE ; TC_bottle_PE_SOR_RE ; TC_bottle_PP_SOR_RE ) * bottle_PS_SOR_RE_mass_mechanical</v>
      </c>
      <c r="H241" s="220"/>
      <c r="I241" s="6" t="str">
        <f t="shared" si="29"/>
        <v>PS</v>
      </c>
      <c r="J241" t="s">
        <v>406</v>
      </c>
      <c r="K241">
        <f t="shared" ref="K241:K252" si="34">E202-E241</f>
        <v>0</v>
      </c>
      <c r="L241" t="str">
        <f t="shared" si="33"/>
        <v>kg ww</v>
      </c>
      <c r="M241" t="str">
        <f t="shared" si="30"/>
        <v>bottle_PS_SOR_RE_mass_mechanical - bottle_PS_RE_NEW_mass_mechanical</v>
      </c>
      <c r="N241" s="12" t="s">
        <v>1005</v>
      </c>
    </row>
    <row r="242" spans="1:41" ht="15" customHeight="1" x14ac:dyDescent="0.2">
      <c r="A242" s="12"/>
      <c r="B242" s="220"/>
      <c r="C242" s="6" t="str">
        <f t="shared" si="28"/>
        <v>Other</v>
      </c>
      <c r="D242" t="s">
        <v>388</v>
      </c>
      <c r="E242">
        <f>AVERAGE(C226,C227,C228)*E203</f>
        <v>0</v>
      </c>
      <c r="F242" t="str">
        <f t="shared" si="31"/>
        <v>kg ww</v>
      </c>
      <c r="G242" s="32" t="str">
        <f>"AVERAGE("&amp;B226&amp;"; "&amp;B227&amp;"; "&amp;B228&amp;") * "&amp;D203</f>
        <v>AVERAGE(TC_bottle_PET_SOR_RE ; TC_bottle_PE_SOR_RE ; TC_bottle_PP_SOR_RE ) * bottle_Oth_SOR_RE_mass_mechanical</v>
      </c>
      <c r="H242" s="220"/>
      <c r="I242" s="6" t="str">
        <f t="shared" si="29"/>
        <v>Other</v>
      </c>
      <c r="J242" t="s">
        <v>407</v>
      </c>
      <c r="K242">
        <f t="shared" si="34"/>
        <v>0</v>
      </c>
      <c r="L242" t="str">
        <f t="shared" si="33"/>
        <v>kg ww</v>
      </c>
      <c r="M242" t="str">
        <f t="shared" si="30"/>
        <v>bottle_Oth_SOR_RE_mass_mechanical - bottle_Oth_RE_NEW_mass_mechanical</v>
      </c>
      <c r="N242" s="12" t="s">
        <v>1005</v>
      </c>
    </row>
    <row r="243" spans="1:41" ht="15" customHeight="1" x14ac:dyDescent="0.2">
      <c r="A243" s="12"/>
      <c r="B243" s="220" t="s">
        <v>15</v>
      </c>
      <c r="C243" s="6" t="str">
        <f t="shared" si="28"/>
        <v>PET</v>
      </c>
      <c r="D243" t="s">
        <v>389</v>
      </c>
      <c r="E243">
        <f>C229*E204</f>
        <v>24.800399999999996</v>
      </c>
      <c r="F243" t="str">
        <f t="shared" si="31"/>
        <v>kg ww</v>
      </c>
      <c r="G243" s="32" t="str">
        <f>B229&amp;" * "&amp;D204</f>
        <v>TC_rigid_PET_SOR_RE  * rigid_PET_SOR_RE_mass_mechanical</v>
      </c>
      <c r="H243" s="220" t="s">
        <v>15</v>
      </c>
      <c r="I243" s="6" t="str">
        <f t="shared" si="29"/>
        <v>PET</v>
      </c>
      <c r="J243" t="s">
        <v>408</v>
      </c>
      <c r="K243">
        <f t="shared" si="34"/>
        <v>5.0796000000000028</v>
      </c>
      <c r="L243" t="str">
        <f t="shared" si="33"/>
        <v>kg ww</v>
      </c>
      <c r="M243" t="str">
        <f t="shared" si="30"/>
        <v>rigid_PET_SOR_RE_mass_mechanical - rigid_PET_RE_NEW_mass_mechanical</v>
      </c>
      <c r="N243" s="12" t="s">
        <v>1006</v>
      </c>
    </row>
    <row r="244" spans="1:41" ht="15" customHeight="1" x14ac:dyDescent="0.2">
      <c r="A244" s="12"/>
      <c r="B244" s="220"/>
      <c r="C244" s="6" t="str">
        <f t="shared" si="28"/>
        <v>PE</v>
      </c>
      <c r="D244" t="s">
        <v>390</v>
      </c>
      <c r="E244">
        <f>C230*E205</f>
        <v>20.196000000000002</v>
      </c>
      <c r="F244" t="str">
        <f t="shared" si="31"/>
        <v>kg ww</v>
      </c>
      <c r="G244" s="32" t="str">
        <f t="shared" ref="G244:G245" si="35">B230&amp;" * "&amp;D205</f>
        <v>TC_rigid_PE_SOR_RE  * rigid_PE_SOR_RE_mass_mechanical</v>
      </c>
      <c r="H244" s="220"/>
      <c r="I244" s="6" t="str">
        <f t="shared" si="29"/>
        <v>PE</v>
      </c>
      <c r="J244" t="s">
        <v>409</v>
      </c>
      <c r="K244">
        <f t="shared" si="34"/>
        <v>3.5640000000000001</v>
      </c>
      <c r="L244" t="str">
        <f t="shared" si="33"/>
        <v>kg ww</v>
      </c>
      <c r="M244" t="str">
        <f t="shared" si="30"/>
        <v>rigid_PE_SOR_RE_mass_mechanical - rigid_PE_RE_NEW_mass_mechanical</v>
      </c>
      <c r="N244" s="12" t="s">
        <v>1005</v>
      </c>
    </row>
    <row r="245" spans="1:41" ht="15" customHeight="1" x14ac:dyDescent="0.2">
      <c r="A245" s="12"/>
      <c r="B245" s="220"/>
      <c r="C245" s="6" t="str">
        <f t="shared" si="28"/>
        <v>PP</v>
      </c>
      <c r="D245" t="s">
        <v>391</v>
      </c>
      <c r="E245">
        <f>C231*E206</f>
        <v>37.043999999999997</v>
      </c>
      <c r="F245" t="str">
        <f t="shared" si="31"/>
        <v>kg ww</v>
      </c>
      <c r="G245" s="32" t="str">
        <f t="shared" si="35"/>
        <v>TC_rigid_PP_SOR_RE  * rigid_PP_SOR_RE_mass_mechanical</v>
      </c>
      <c r="H245" s="220"/>
      <c r="I245" s="6" t="str">
        <f t="shared" si="29"/>
        <v>PP</v>
      </c>
      <c r="J245" t="s">
        <v>410</v>
      </c>
      <c r="K245">
        <f t="shared" si="34"/>
        <v>7.0559999999999974</v>
      </c>
      <c r="L245" t="str">
        <f t="shared" si="33"/>
        <v>kg ww</v>
      </c>
      <c r="M245" t="str">
        <f t="shared" si="30"/>
        <v>rigid_PP_SOR_RE_mass_mechanical - rigid_PP_RE_NEW_mass_mechanical</v>
      </c>
      <c r="N245" s="12" t="s">
        <v>1005</v>
      </c>
    </row>
    <row r="246" spans="1:41" ht="15" customHeight="1" x14ac:dyDescent="0.2">
      <c r="A246" s="12"/>
      <c r="B246" s="220"/>
      <c r="C246" s="6" t="str">
        <f t="shared" si="28"/>
        <v>PS</v>
      </c>
      <c r="D246" t="s">
        <v>392</v>
      </c>
      <c r="E246" s="64">
        <f>AVERAGE(C229,C230,C231)*E207</f>
        <v>4.3929479999999996</v>
      </c>
      <c r="F246" t="str">
        <f t="shared" si="31"/>
        <v>kg ww</v>
      </c>
      <c r="G246" s="32" t="str">
        <f>"AVERAGE("&amp;B229&amp;"; "&amp;B230&amp;"; "&amp;B231&amp;") * "&amp;D207</f>
        <v>AVERAGE(TC_rigid_PET_SOR_RE ; TC_rigid_PE_SOR_RE ; TC_rigid_PP_SOR_RE ) * rigid_PS_SOR_RE_mass_mechanical</v>
      </c>
      <c r="H246" s="220"/>
      <c r="I246" s="6" t="str">
        <f t="shared" si="29"/>
        <v>PS</v>
      </c>
      <c r="J246" t="s">
        <v>412</v>
      </c>
      <c r="K246">
        <f t="shared" si="34"/>
        <v>0.83675200000000061</v>
      </c>
      <c r="L246" t="str">
        <f t="shared" si="33"/>
        <v>kg ww</v>
      </c>
      <c r="M246" t="str">
        <f t="shared" si="30"/>
        <v>rigid_PS_SOR_RE_mass_mechanical - rigid_PS_RE_NEW_mass_mechanical</v>
      </c>
      <c r="N246" s="12" t="s">
        <v>1005</v>
      </c>
    </row>
    <row r="247" spans="1:41" ht="15" customHeight="1" x14ac:dyDescent="0.2">
      <c r="A247" s="12"/>
      <c r="B247" s="220"/>
      <c r="C247" s="6" t="str">
        <f t="shared" si="28"/>
        <v>Other</v>
      </c>
      <c r="D247" t="s">
        <v>393</v>
      </c>
      <c r="E247" s="64">
        <f>AVERAGE(C229,C230,C231)*E208</f>
        <v>21.964739999999992</v>
      </c>
      <c r="F247" t="str">
        <f t="shared" si="31"/>
        <v>kg ww</v>
      </c>
      <c r="G247" s="32" t="str">
        <f>"AVERAGE("&amp;B229&amp;"; "&amp;B230&amp;"; "&amp;B231&amp;") * "&amp;D208</f>
        <v>AVERAGE(TC_rigid_PET_SOR_RE ; TC_rigid_PE_SOR_RE ; TC_rigid_PP_SOR_RE ) * rigid_Oth_SOR_RE_mass_mechanical</v>
      </c>
      <c r="H247" s="220"/>
      <c r="I247" s="6" t="str">
        <f t="shared" si="29"/>
        <v>Other</v>
      </c>
      <c r="J247" t="s">
        <v>411</v>
      </c>
      <c r="K247">
        <f t="shared" si="34"/>
        <v>4.1837599999999995</v>
      </c>
      <c r="L247" t="str">
        <f t="shared" si="33"/>
        <v>kg ww</v>
      </c>
      <c r="M247" t="str">
        <f t="shared" si="30"/>
        <v>rigid_Oth_SOR_RE_mass_mechanical - rigid_Oth_RE_NEW_mass_mechanical</v>
      </c>
      <c r="N247" s="12" t="s">
        <v>1006</v>
      </c>
    </row>
    <row r="248" spans="1:41" s="2" customFormat="1" ht="15" customHeight="1" x14ac:dyDescent="0.2">
      <c r="A248" s="11"/>
      <c r="B248" s="220" t="s">
        <v>42</v>
      </c>
      <c r="C248" s="6" t="str">
        <f t="shared" si="28"/>
        <v>PET</v>
      </c>
      <c r="D248" t="s">
        <v>394</v>
      </c>
      <c r="E248">
        <f>C232*E209</f>
        <v>0</v>
      </c>
      <c r="F248" t="str">
        <f t="shared" si="31"/>
        <v>kg ww</v>
      </c>
      <c r="G248" s="32" t="str">
        <f>B232&amp;" * "&amp;D209</f>
        <v>TC_soft_PET_SOR_RE  * soft_PET_SOR_RE_mass_mechanical</v>
      </c>
      <c r="H248" s="220" t="s">
        <v>42</v>
      </c>
      <c r="I248" s="6" t="str">
        <f t="shared" si="29"/>
        <v>PET</v>
      </c>
      <c r="J248" t="s">
        <v>413</v>
      </c>
      <c r="K248">
        <f t="shared" si="34"/>
        <v>0</v>
      </c>
      <c r="L248" t="str">
        <f t="shared" si="33"/>
        <v>kg ww</v>
      </c>
      <c r="M248" t="str">
        <f t="shared" si="30"/>
        <v>soft_PET_SOR_RE_mass_mechanical - soft_PET_RE_NEW_mass_mechanical</v>
      </c>
      <c r="N248" s="11" t="s">
        <v>1005</v>
      </c>
    </row>
    <row r="249" spans="1:41" ht="15" customHeight="1" x14ac:dyDescent="0.2">
      <c r="A249" s="12"/>
      <c r="B249" s="220"/>
      <c r="C249" s="6" t="str">
        <f t="shared" si="28"/>
        <v>PE</v>
      </c>
      <c r="D249" t="s">
        <v>395</v>
      </c>
      <c r="E249">
        <f>C233*E210</f>
        <v>201.95999999999998</v>
      </c>
      <c r="F249" t="str">
        <f t="shared" si="31"/>
        <v>kg ww</v>
      </c>
      <c r="G249" s="32" t="str">
        <f t="shared" ref="G249:G250" si="36">B233&amp;" * "&amp;D210</f>
        <v>TC_soft_PE_SOR_RE  * soft_PE_SOR_RE_mass_mechanical</v>
      </c>
      <c r="H249" s="220"/>
      <c r="I249" s="6" t="str">
        <f t="shared" si="29"/>
        <v>PE</v>
      </c>
      <c r="J249" t="s">
        <v>414</v>
      </c>
      <c r="K249">
        <f t="shared" si="34"/>
        <v>35.640000000000015</v>
      </c>
      <c r="L249" t="str">
        <f t="shared" si="33"/>
        <v>kg ww</v>
      </c>
      <c r="M249" t="str">
        <f t="shared" si="30"/>
        <v>soft_PE_SOR_RE_mass_mechanical - soft_PE_RE_NEW_mass_mechanical</v>
      </c>
      <c r="N249" s="12" t="s">
        <v>1005</v>
      </c>
    </row>
    <row r="250" spans="1:41" ht="15" customHeight="1" x14ac:dyDescent="0.2">
      <c r="A250" s="12"/>
      <c r="B250" s="220"/>
      <c r="C250" s="6" t="str">
        <f t="shared" si="28"/>
        <v>PP</v>
      </c>
      <c r="D250" t="s">
        <v>396</v>
      </c>
      <c r="E250">
        <f>C234*E211</f>
        <v>0</v>
      </c>
      <c r="F250" t="str">
        <f t="shared" si="31"/>
        <v>kg ww</v>
      </c>
      <c r="G250" s="32" t="str">
        <f t="shared" si="36"/>
        <v>TC_soft_PP_SOR_RE  * soft_PP_SOR_RE_mass_mechanical</v>
      </c>
      <c r="H250" s="220"/>
      <c r="I250" s="6" t="str">
        <f t="shared" si="29"/>
        <v>PP</v>
      </c>
      <c r="J250" t="s">
        <v>415</v>
      </c>
      <c r="K250">
        <f t="shared" si="34"/>
        <v>0</v>
      </c>
      <c r="L250" t="str">
        <f t="shared" si="33"/>
        <v>kg ww</v>
      </c>
      <c r="M250" t="str">
        <f t="shared" si="30"/>
        <v>soft_PP_SOR_RE_mass_mechanical - soft_PP_RE_NEW_mass_mechanical</v>
      </c>
      <c r="N250" s="12" t="s">
        <v>1005</v>
      </c>
    </row>
    <row r="251" spans="1:41" ht="15" customHeight="1" x14ac:dyDescent="0.2">
      <c r="A251" s="12"/>
      <c r="B251" s="220"/>
      <c r="C251" s="6" t="str">
        <f t="shared" si="28"/>
        <v>PS</v>
      </c>
      <c r="D251" t="s">
        <v>397</v>
      </c>
      <c r="E251">
        <f>AVERAGE(C232,C233,C234)*E212</f>
        <v>0</v>
      </c>
      <c r="F251" t="str">
        <f t="shared" si="31"/>
        <v>kg ww</v>
      </c>
      <c r="G251" s="32" t="str">
        <f>"AVERAGE("&amp;B232&amp;"; "&amp;B233&amp;"; "&amp;B234&amp;") * "&amp;D212</f>
        <v>AVERAGE(TC_soft_PET_SOR_RE ; TC_soft_PE_SOR_RE ; TC_soft_PP_SOR_RE ) * soft_PS_SOR_RE_mass_mechanical</v>
      </c>
      <c r="H251" s="220"/>
      <c r="I251" s="6" t="str">
        <f t="shared" si="29"/>
        <v>PS</v>
      </c>
      <c r="J251" t="s">
        <v>416</v>
      </c>
      <c r="K251">
        <f t="shared" si="34"/>
        <v>0</v>
      </c>
      <c r="L251" t="str">
        <f t="shared" si="33"/>
        <v>kg ww</v>
      </c>
      <c r="M251" t="str">
        <f t="shared" si="30"/>
        <v>soft_PS_SOR_RE_mass_mechanical - soft_PS_RE_NEW_mass_mechanical</v>
      </c>
      <c r="N251" s="12" t="s">
        <v>1005</v>
      </c>
    </row>
    <row r="252" spans="1:41" ht="15" customHeight="1" x14ac:dyDescent="0.2">
      <c r="A252" s="12"/>
      <c r="B252" s="227"/>
      <c r="C252" s="60" t="str">
        <f t="shared" si="28"/>
        <v>Other</v>
      </c>
      <c r="D252" s="44" t="s">
        <v>398</v>
      </c>
      <c r="E252" s="60">
        <f>AVERAGE(C232,C233,C234)*E213</f>
        <v>43.929480000000005</v>
      </c>
      <c r="F252" s="44" t="str">
        <f t="shared" si="31"/>
        <v>kg ww</v>
      </c>
      <c r="G252" s="61" t="str">
        <f>"AVERAGE("&amp;B232&amp;"; "&amp;B233&amp;"; "&amp;B234&amp;") * "&amp;D213</f>
        <v>AVERAGE(TC_soft_PET_SOR_RE ; TC_soft_PE_SOR_RE ; TC_soft_PP_SOR_RE ) * soft_Oth_SOR_RE_mass_mechanical</v>
      </c>
      <c r="H252" s="220"/>
      <c r="I252" s="6" t="str">
        <f t="shared" si="29"/>
        <v>Other</v>
      </c>
      <c r="J252" t="s">
        <v>417</v>
      </c>
      <c r="K252">
        <f t="shared" si="34"/>
        <v>8.367519999999999</v>
      </c>
      <c r="L252" t="str">
        <f t="shared" si="33"/>
        <v>kg ww</v>
      </c>
      <c r="M252" t="str">
        <f t="shared" si="30"/>
        <v>soft_Oth_SOR_RE_mass_mechanical - soft_Oth_RE_NEW_mass_mechanical</v>
      </c>
      <c r="N252" s="12" t="s">
        <v>1005</v>
      </c>
    </row>
    <row r="253" spans="1:41" ht="25" customHeight="1" x14ac:dyDescent="0.2">
      <c r="A253" s="12"/>
      <c r="B253" s="214" t="s">
        <v>94</v>
      </c>
      <c r="C253" s="214"/>
      <c r="D253" s="214"/>
      <c r="E253" s="214"/>
      <c r="F253" s="214"/>
      <c r="G253" s="214"/>
      <c r="H253" s="214"/>
      <c r="I253" s="214"/>
      <c r="J253" s="214"/>
      <c r="K253" s="214"/>
      <c r="L253" s="214"/>
      <c r="M253" s="214"/>
      <c r="N253" s="12" t="s">
        <v>1005</v>
      </c>
    </row>
    <row r="254" spans="1:41" ht="15" customHeight="1" x14ac:dyDescent="0.2">
      <c r="A254" s="12"/>
      <c r="B254" s="2" t="str">
        <f>B215</f>
        <v>Parameter</v>
      </c>
      <c r="C254" s="2" t="str">
        <f>C215</f>
        <v>Value</v>
      </c>
      <c r="D254" s="2" t="str">
        <f>D215</f>
        <v>Unit</v>
      </c>
      <c r="E254" s="2" t="str">
        <f>E215</f>
        <v>Description</v>
      </c>
      <c r="F254" s="2"/>
      <c r="G254" s="1"/>
      <c r="H254" s="2" t="str">
        <f>H215</f>
        <v>Parameter</v>
      </c>
      <c r="I254" s="2" t="str">
        <f>I215</f>
        <v>Value</v>
      </c>
      <c r="J254" s="2" t="str">
        <f>J215</f>
        <v>Unit</v>
      </c>
      <c r="K254" s="2" t="str">
        <f>K215</f>
        <v>Description</v>
      </c>
      <c r="L254" s="2"/>
      <c r="M254" s="2"/>
      <c r="N254" s="12"/>
    </row>
    <row r="255" spans="1:41" ht="15" customHeight="1" x14ac:dyDescent="0.2">
      <c r="A255" s="12"/>
      <c r="B255" t="s">
        <v>399</v>
      </c>
      <c r="C255">
        <f>SUM(E238:E242)</f>
        <v>194.16149999999999</v>
      </c>
      <c r="D255" t="s">
        <v>10</v>
      </c>
      <c r="E255" t="s">
        <v>1189</v>
      </c>
      <c r="G255" s="32"/>
      <c r="H255" t="s">
        <v>418</v>
      </c>
      <c r="I255">
        <f>SUM(K238:K242)</f>
        <v>33.08850000000001</v>
      </c>
      <c r="J255" t="s">
        <v>10</v>
      </c>
      <c r="K255" t="s">
        <v>1190</v>
      </c>
      <c r="N255" s="12"/>
    </row>
    <row r="256" spans="1:41" ht="15" customHeight="1" x14ac:dyDescent="0.2">
      <c r="A256" s="12"/>
      <c r="B256" t="s">
        <v>400</v>
      </c>
      <c r="C256">
        <f>SUM(E243:E247)</f>
        <v>108.39808799999999</v>
      </c>
      <c r="D256" t="str">
        <f>D255</f>
        <v>kg ww</v>
      </c>
      <c r="E256" t="s">
        <v>1191</v>
      </c>
      <c r="G256" s="32"/>
      <c r="H256" t="s">
        <v>419</v>
      </c>
      <c r="I256">
        <f>SUM(K243:K247)</f>
        <v>20.720112</v>
      </c>
      <c r="J256" t="str">
        <f>J255</f>
        <v>kg ww</v>
      </c>
      <c r="K256" t="s">
        <v>1192</v>
      </c>
      <c r="N256" s="12"/>
      <c r="AD256" s="2"/>
      <c r="AF256" s="2"/>
      <c r="AG256" s="2"/>
      <c r="AH256" s="2"/>
      <c r="AI256" s="2"/>
      <c r="AJ256" s="2"/>
      <c r="AK256" s="2"/>
      <c r="AL256" s="2"/>
      <c r="AM256" s="2"/>
      <c r="AN256" s="2"/>
      <c r="AO256" s="2"/>
    </row>
    <row r="257" spans="1:41" ht="15" customHeight="1" thickBot="1" x14ac:dyDescent="0.25">
      <c r="A257" s="12"/>
      <c r="B257" s="8" t="s">
        <v>401</v>
      </c>
      <c r="C257" s="8">
        <f>SUM(E248:E252)</f>
        <v>245.88947999999999</v>
      </c>
      <c r="D257" s="8" t="str">
        <f t="shared" ref="D257:D258" si="37">D256</f>
        <v>kg ww</v>
      </c>
      <c r="E257" s="8" t="s">
        <v>1193</v>
      </c>
      <c r="F257" s="8"/>
      <c r="G257" s="87"/>
      <c r="H257" s="8" t="s">
        <v>420</v>
      </c>
      <c r="I257" s="8">
        <f>SUM(K248:K252)</f>
        <v>44.007520000000014</v>
      </c>
      <c r="J257" s="8" t="str">
        <f t="shared" ref="J257:J258" si="38">J256</f>
        <v>kg ww</v>
      </c>
      <c r="K257" s="8" t="s">
        <v>1194</v>
      </c>
      <c r="L257" s="8"/>
      <c r="M257" s="8"/>
      <c r="N257" s="12"/>
      <c r="AC257" s="2"/>
      <c r="AD257" s="10"/>
      <c r="AF257" s="10"/>
      <c r="AG257" s="10"/>
      <c r="AH257" s="10"/>
      <c r="AI257" s="10"/>
      <c r="AJ257" s="10"/>
      <c r="AK257" s="10"/>
      <c r="AL257" s="10"/>
      <c r="AM257" s="10"/>
      <c r="AN257" s="10"/>
      <c r="AO257" s="10"/>
    </row>
    <row r="258" spans="1:41" s="2" customFormat="1" ht="15" customHeight="1" thickTop="1" x14ac:dyDescent="0.2">
      <c r="A258" s="11"/>
      <c r="B258" s="44" t="s">
        <v>402</v>
      </c>
      <c r="C258" s="44">
        <f>SUM(C255:C257)</f>
        <v>548.4490679999999</v>
      </c>
      <c r="D258" s="44" t="str">
        <f t="shared" si="37"/>
        <v>kg ww</v>
      </c>
      <c r="E258" s="44" t="s">
        <v>1195</v>
      </c>
      <c r="F258" s="44"/>
      <c r="G258" s="61"/>
      <c r="H258" s="44" t="s">
        <v>421</v>
      </c>
      <c r="I258" s="44">
        <f>SUM(I255:I257)</f>
        <v>97.816132000000025</v>
      </c>
      <c r="J258" s="44" t="str">
        <f t="shared" si="38"/>
        <v>kg ww</v>
      </c>
      <c r="K258" s="44" t="s">
        <v>1196</v>
      </c>
      <c r="L258" s="44"/>
      <c r="M258" s="44"/>
      <c r="N258" s="11"/>
      <c r="AD258" s="39"/>
      <c r="AE258"/>
      <c r="AF258" s="39"/>
      <c r="AG258" s="25"/>
      <c r="AH258" s="25"/>
      <c r="AI258" s="39"/>
      <c r="AJ258" s="25"/>
      <c r="AK258" s="10"/>
      <c r="AL258" s="10"/>
      <c r="AM258" s="10"/>
      <c r="AN258" s="10"/>
      <c r="AO258" s="10"/>
    </row>
    <row r="259" spans="1:41" s="2" customFormat="1" ht="15" customHeight="1" x14ac:dyDescent="0.2">
      <c r="A259" s="11"/>
      <c r="B259" s="125" t="s">
        <v>2704</v>
      </c>
      <c r="C259" s="125" t="str">
        <f>IF(C258+I258=C219,"true")</f>
        <v>true</v>
      </c>
      <c r="D259" s="125"/>
      <c r="E259" s="125"/>
      <c r="F259" s="125"/>
      <c r="G259" s="125"/>
      <c r="H259" s="125"/>
      <c r="I259" s="125"/>
      <c r="J259" s="125"/>
      <c r="K259" s="125"/>
      <c r="L259" s="125"/>
      <c r="M259" s="125"/>
      <c r="N259" s="11"/>
      <c r="AD259"/>
      <c r="AE259"/>
      <c r="AF259"/>
      <c r="AG259"/>
      <c r="AH259"/>
      <c r="AI259"/>
      <c r="AJ259"/>
    </row>
    <row r="260" spans="1:41" s="2" customFormat="1" ht="15" customHeight="1" x14ac:dyDescent="0.2">
      <c r="A260" s="11"/>
      <c r="B260" s="12"/>
      <c r="C260" s="12"/>
      <c r="D260" s="12"/>
      <c r="E260" s="12"/>
      <c r="F260" s="12"/>
      <c r="G260" s="12"/>
      <c r="H260" s="12"/>
      <c r="I260" s="12"/>
      <c r="J260" s="12"/>
      <c r="K260" s="12"/>
      <c r="L260" s="12"/>
      <c r="M260" s="12"/>
      <c r="N260" s="11"/>
      <c r="AC260"/>
    </row>
    <row r="261" spans="1:41" ht="15" customHeight="1" x14ac:dyDescent="0.2">
      <c r="A261" s="12"/>
      <c r="B261" s="12"/>
      <c r="C261" s="12"/>
      <c r="D261" s="12"/>
      <c r="E261" s="12"/>
      <c r="F261" s="12"/>
      <c r="G261" s="12"/>
      <c r="H261" s="12"/>
      <c r="I261" s="12"/>
      <c r="J261" s="12"/>
      <c r="K261" s="12"/>
      <c r="L261" s="12"/>
      <c r="M261" s="12"/>
      <c r="N261" s="12"/>
      <c r="AD261" s="2"/>
      <c r="AE261" s="2"/>
      <c r="AF261" s="2"/>
      <c r="AG261" s="2"/>
      <c r="AH261" s="2"/>
      <c r="AI261" s="2"/>
      <c r="AJ261" s="2"/>
      <c r="AK261" s="2"/>
      <c r="AL261" s="2"/>
      <c r="AM261" s="2"/>
      <c r="AN261" s="2"/>
      <c r="AO261" s="2"/>
    </row>
    <row r="262" spans="1:41" ht="15" customHeight="1" x14ac:dyDescent="0.2">
      <c r="A262" s="12"/>
      <c r="B262" s="12"/>
      <c r="C262" s="12"/>
      <c r="D262" s="12"/>
      <c r="E262" s="12"/>
      <c r="F262" s="12"/>
      <c r="G262" s="12"/>
      <c r="H262" s="12"/>
      <c r="I262" s="12"/>
      <c r="J262" s="12"/>
      <c r="K262" s="12"/>
      <c r="L262" s="12"/>
      <c r="M262" s="12"/>
      <c r="N262" s="12"/>
      <c r="AD262" s="2"/>
      <c r="AE262" s="2"/>
      <c r="AF262" s="2"/>
      <c r="AG262" s="2"/>
      <c r="AH262" s="2"/>
      <c r="AI262" s="2"/>
      <c r="AJ262" s="2"/>
      <c r="AK262" s="2"/>
      <c r="AL262" s="2"/>
      <c r="AM262" s="2"/>
      <c r="AN262" s="2"/>
      <c r="AO262" s="2"/>
    </row>
    <row r="263" spans="1:41" ht="25" customHeight="1" x14ac:dyDescent="0.2">
      <c r="A263" s="12"/>
      <c r="B263" s="214" t="s">
        <v>117</v>
      </c>
      <c r="C263" s="214"/>
      <c r="D263" s="214"/>
      <c r="E263" s="214"/>
      <c r="F263" s="214"/>
      <c r="G263" s="214"/>
      <c r="H263" s="214"/>
      <c r="I263" s="214"/>
      <c r="J263" s="214"/>
      <c r="K263" s="214"/>
      <c r="L263" s="214"/>
      <c r="M263" s="214"/>
      <c r="N263" s="12"/>
      <c r="AD263" s="66"/>
      <c r="AE263" s="6"/>
      <c r="AG263" s="33"/>
      <c r="AJ263" s="66"/>
      <c r="AK263" s="6"/>
      <c r="AM263" s="33"/>
    </row>
    <row r="264" spans="1:41" ht="15" customHeight="1" x14ac:dyDescent="0.2">
      <c r="A264" s="12"/>
      <c r="B264" s="114" t="str">
        <f t="shared" ref="B264:G264" si="39">B225</f>
        <v>Parameters</v>
      </c>
      <c r="C264" s="114" t="str">
        <f t="shared" si="39"/>
        <v>Value</v>
      </c>
      <c r="D264" s="114" t="str">
        <f t="shared" si="39"/>
        <v>Unit</v>
      </c>
      <c r="E264" s="114" t="str">
        <f t="shared" si="39"/>
        <v>Min</v>
      </c>
      <c r="F264" s="114" t="str">
        <f t="shared" si="39"/>
        <v>Max</v>
      </c>
      <c r="G264" s="114" t="str">
        <f t="shared" si="39"/>
        <v>Description</v>
      </c>
      <c r="H264" s="114" t="s">
        <v>112</v>
      </c>
      <c r="I264" s="114"/>
      <c r="J264" s="114"/>
      <c r="K264" s="114"/>
      <c r="L264" s="114"/>
      <c r="M264" s="114"/>
      <c r="N264" s="12"/>
      <c r="AD264" s="66"/>
      <c r="AE264" s="6"/>
      <c r="AG264" s="33"/>
      <c r="AJ264" s="66"/>
      <c r="AK264" s="6"/>
      <c r="AM264" s="33"/>
    </row>
    <row r="265" spans="1:41" ht="15" customHeight="1" x14ac:dyDescent="0.2">
      <c r="A265" s="12"/>
      <c r="B265" s="106" t="str">
        <f>'info, structure, parameters'!A194</f>
        <v>ash_bottle_mass</v>
      </c>
      <c r="C265" s="106">
        <f>'info, structure, parameters'!B194</f>
        <v>5.4594999999999998E-2</v>
      </c>
      <c r="D265" s="106" t="str">
        <f>'info, structure, parameters'!C194</f>
        <v>kg ww</v>
      </c>
      <c r="E265" s="106">
        <f>'info, structure, parameters'!D194</f>
        <v>5.4594999999999998E-2</v>
      </c>
      <c r="F265" s="106">
        <f>'info, structure, parameters'!E194</f>
        <v>5.4594999999999998E-2</v>
      </c>
      <c r="G265" s="106" t="str">
        <f>'info, structure, parameters'!F194</f>
        <v>The residue content of 1 kg of plastic bottles</v>
      </c>
      <c r="H265" s="106">
        <f>'info, structure, parameters'!G194</f>
        <v>3</v>
      </c>
      <c r="I265" s="106"/>
      <c r="J265" s="106"/>
      <c r="K265" s="106"/>
      <c r="L265" s="106"/>
      <c r="M265" s="106"/>
      <c r="N265" s="12"/>
      <c r="AD265" s="66"/>
      <c r="AE265" s="6"/>
      <c r="AG265" s="33"/>
      <c r="AJ265" s="66"/>
      <c r="AK265" s="6"/>
      <c r="AM265" s="33"/>
    </row>
    <row r="266" spans="1:41" ht="15" customHeight="1" x14ac:dyDescent="0.2">
      <c r="A266" s="12"/>
      <c r="B266" s="106" t="str">
        <f>'info, structure, parameters'!A195</f>
        <v>ash_rigid_mass</v>
      </c>
      <c r="C266" s="106">
        <f>'info, structure, parameters'!B195</f>
        <v>2.1295999999999999E-2</v>
      </c>
      <c r="D266" s="106" t="str">
        <f>'info, structure, parameters'!C195</f>
        <v>kg ww</v>
      </c>
      <c r="E266" s="106">
        <f>'info, structure, parameters'!D195</f>
        <v>2.1295999999999999E-2</v>
      </c>
      <c r="F266" s="106">
        <f>'info, structure, parameters'!E195</f>
        <v>2.1295999999999999E-2</v>
      </c>
      <c r="G266" s="106" t="str">
        <f>'info, structure, parameters'!F195</f>
        <v>The residue content of 1 kg of rigid plastic</v>
      </c>
      <c r="H266" s="106">
        <f>'info, structure, parameters'!G195</f>
        <v>3</v>
      </c>
      <c r="I266" s="106"/>
      <c r="J266" s="106"/>
      <c r="K266" s="106"/>
      <c r="L266" s="106"/>
      <c r="M266" s="106"/>
      <c r="N266" s="12"/>
      <c r="AD266" s="66"/>
      <c r="AE266" s="6"/>
      <c r="AG266" s="33"/>
      <c r="AJ266" s="66"/>
      <c r="AK266" s="6"/>
      <c r="AM266" s="33"/>
    </row>
    <row r="267" spans="1:41" ht="15" customHeight="1" x14ac:dyDescent="0.2">
      <c r="A267" s="12"/>
      <c r="B267" s="106" t="str">
        <f>'info, structure, parameters'!A196</f>
        <v>ash_soft_mass</v>
      </c>
      <c r="C267" s="106">
        <f>'info, structure, parameters'!B196</f>
        <v>3.7791600000000002E-2</v>
      </c>
      <c r="D267" s="106" t="str">
        <f>'info, structure, parameters'!C196</f>
        <v>kg ww</v>
      </c>
      <c r="E267" s="106">
        <f>'info, structure, parameters'!D196</f>
        <v>3.7791600000000002E-2</v>
      </c>
      <c r="F267" s="106">
        <f>'info, structure, parameters'!E196</f>
        <v>3.7791600000000002E-2</v>
      </c>
      <c r="G267" s="106" t="str">
        <f>'info, structure, parameters'!F196</f>
        <v>The residue content of 1 kg of soft plastic</v>
      </c>
      <c r="H267" s="106">
        <f>'info, structure, parameters'!G196</f>
        <v>3</v>
      </c>
      <c r="I267" s="106"/>
      <c r="J267" s="106"/>
      <c r="K267" s="106"/>
      <c r="L267" s="106"/>
      <c r="M267" s="106"/>
      <c r="N267" s="12"/>
      <c r="AD267" s="66"/>
      <c r="AE267" s="6"/>
      <c r="AG267" s="33"/>
      <c r="AJ267" s="66"/>
      <c r="AK267" s="6"/>
      <c r="AM267" s="33"/>
    </row>
    <row r="268" spans="1:41" ht="15" customHeight="1" x14ac:dyDescent="0.2">
      <c r="A268" s="12"/>
      <c r="B268" s="106" t="str">
        <f>'info, structure, parameters'!A197</f>
        <v>ash_nonrec_mass</v>
      </c>
      <c r="C268" s="106">
        <f>'info, structure, parameters'!B197</f>
        <v>5.1095000000000002E-2</v>
      </c>
      <c r="D268" s="106" t="str">
        <f>'info, structure, parameters'!C197</f>
        <v>kg ww</v>
      </c>
      <c r="E268" s="106">
        <f>'info, structure, parameters'!D197</f>
        <v>5.1095000000000002E-2</v>
      </c>
      <c r="F268" s="106">
        <f>'info, structure, parameters'!E197</f>
        <v>5.1095000000000002E-2</v>
      </c>
      <c r="G268" s="106" t="str">
        <f>'info, structure, parameters'!F197</f>
        <v>The residue content of 1 kg of nonrec plastic</v>
      </c>
      <c r="H268" s="106">
        <f>'info, structure, parameters'!G197</f>
        <v>3</v>
      </c>
      <c r="I268" s="106"/>
      <c r="J268" s="106"/>
      <c r="K268" s="106"/>
      <c r="L268" s="106"/>
      <c r="M268" s="106"/>
      <c r="N268" s="12"/>
      <c r="AD268" s="66"/>
      <c r="AE268" s="6"/>
      <c r="AG268" s="33"/>
      <c r="AJ268" s="66"/>
      <c r="AK268" s="6"/>
      <c r="AM268" s="33"/>
    </row>
    <row r="269" spans="1:41" ht="15" customHeight="1" x14ac:dyDescent="0.2">
      <c r="A269" s="12"/>
      <c r="B269" s="106" t="str">
        <f>'info, structure, parameters'!A198</f>
        <v>air_bottle_mass</v>
      </c>
      <c r="C269" s="106">
        <f>'info, structure, parameters'!B198</f>
        <v>0.94540499999999994</v>
      </c>
      <c r="D269" s="106" t="str">
        <f>'info, structure, parameters'!C198</f>
        <v>kg ww</v>
      </c>
      <c r="E269" s="106">
        <f>'info, structure, parameters'!D198</f>
        <v>0.94540499999999994</v>
      </c>
      <c r="F269" s="106">
        <f>'info, structure, parameters'!E198</f>
        <v>0.94540499999999994</v>
      </c>
      <c r="G269" s="106" t="str">
        <f>'info, structure, parameters'!F198</f>
        <v>The water and volatile solid content of 1 kg of bottle plastic</v>
      </c>
      <c r="H269" s="106">
        <f>'info, structure, parameters'!G198</f>
        <v>3</v>
      </c>
      <c r="I269" s="106"/>
      <c r="J269" s="106"/>
      <c r="K269" s="106"/>
      <c r="L269" s="106"/>
      <c r="M269" s="106"/>
      <c r="N269" s="12"/>
      <c r="AD269" s="66"/>
      <c r="AE269" s="6"/>
      <c r="AG269" s="33"/>
      <c r="AJ269" s="66"/>
      <c r="AK269" s="6"/>
      <c r="AM269" s="33"/>
    </row>
    <row r="270" spans="1:41" ht="15" customHeight="1" x14ac:dyDescent="0.2">
      <c r="A270" s="12"/>
      <c r="B270" s="106" t="str">
        <f>'info, structure, parameters'!A199</f>
        <v>air_rigid_mass</v>
      </c>
      <c r="C270" s="106">
        <f>'info, structure, parameters'!B199</f>
        <v>0.97870400000000002</v>
      </c>
      <c r="D270" s="106" t="str">
        <f>'info, structure, parameters'!C199</f>
        <v>kg ww</v>
      </c>
      <c r="E270" s="106">
        <f>'info, structure, parameters'!D199</f>
        <v>0.97870400000000002</v>
      </c>
      <c r="F270" s="106">
        <f>'info, structure, parameters'!E199</f>
        <v>0.97870400000000002</v>
      </c>
      <c r="G270" s="106" t="str">
        <f>'info, structure, parameters'!F199</f>
        <v>The water and volatile solid content of 1 kg of rigid plastic</v>
      </c>
      <c r="H270" s="106">
        <f>'info, structure, parameters'!G199</f>
        <v>3</v>
      </c>
      <c r="I270" s="106"/>
      <c r="J270" s="106"/>
      <c r="K270" s="106"/>
      <c r="L270" s="106"/>
      <c r="M270" s="106"/>
      <c r="N270" s="12"/>
      <c r="AD270" s="66"/>
      <c r="AE270" s="6"/>
      <c r="AG270" s="33"/>
      <c r="AJ270" s="66"/>
      <c r="AK270" s="6"/>
      <c r="AM270" s="33"/>
    </row>
    <row r="271" spans="1:41" ht="15" customHeight="1" x14ac:dyDescent="0.2">
      <c r="A271" s="12"/>
      <c r="B271" s="106" t="str">
        <f>'info, structure, parameters'!A200</f>
        <v>air_soft_mass</v>
      </c>
      <c r="C271" s="106">
        <f>'info, structure, parameters'!B200</f>
        <v>0.96220839999999996</v>
      </c>
      <c r="D271" s="106" t="str">
        <f>'info, structure, parameters'!C200</f>
        <v>kg ww</v>
      </c>
      <c r="E271" s="106">
        <f>'info, structure, parameters'!D200</f>
        <v>0.96220839999999996</v>
      </c>
      <c r="F271" s="106">
        <f>'info, structure, parameters'!E200</f>
        <v>0.96220839999999996</v>
      </c>
      <c r="G271" s="106" t="str">
        <f>'info, structure, parameters'!F200</f>
        <v>The water and volatile solid content of 1 kg of soft plastic</v>
      </c>
      <c r="H271" s="106">
        <f>'info, structure, parameters'!G200</f>
        <v>3</v>
      </c>
      <c r="I271" s="106"/>
      <c r="J271" s="106"/>
      <c r="K271" s="106"/>
      <c r="L271" s="106"/>
      <c r="M271" s="106"/>
      <c r="N271" s="12"/>
      <c r="AC271" s="2"/>
      <c r="AD271" s="66"/>
      <c r="AE271" s="6"/>
      <c r="AG271" s="33"/>
      <c r="AJ271" s="66"/>
      <c r="AK271" s="6"/>
      <c r="AM271" s="33"/>
    </row>
    <row r="272" spans="1:41" s="2" customFormat="1" ht="15" customHeight="1" x14ac:dyDescent="0.2">
      <c r="A272" s="11"/>
      <c r="B272" s="106" t="str">
        <f>'info, structure, parameters'!A201</f>
        <v>air_nonrec_mass</v>
      </c>
      <c r="C272" s="106">
        <f>'info, structure, parameters'!B201</f>
        <v>0.94890499999999989</v>
      </c>
      <c r="D272" s="106" t="str">
        <f>'info, structure, parameters'!C201</f>
        <v>kg ww</v>
      </c>
      <c r="E272" s="106">
        <f>'info, structure, parameters'!D201</f>
        <v>0.94890499999999989</v>
      </c>
      <c r="F272" s="106">
        <f>'info, structure, parameters'!E201</f>
        <v>0.94890499999999989</v>
      </c>
      <c r="G272" s="106" t="str">
        <f>'info, structure, parameters'!F201</f>
        <v>The water and volatile solid content of 1 kg of nonrec plastic</v>
      </c>
      <c r="H272" s="106">
        <f>'info, structure, parameters'!G201</f>
        <v>3</v>
      </c>
      <c r="I272" s="106"/>
      <c r="J272" s="106"/>
      <c r="K272" s="106"/>
      <c r="L272" s="106"/>
      <c r="M272" s="106"/>
      <c r="N272" s="11"/>
      <c r="AD272" s="66"/>
      <c r="AE272" s="6"/>
      <c r="AF272"/>
      <c r="AG272" s="33"/>
      <c r="AH272"/>
      <c r="AI272"/>
      <c r="AJ272" s="66"/>
      <c r="AK272" s="6"/>
      <c r="AL272"/>
      <c r="AM272" s="33"/>
      <c r="AN272"/>
      <c r="AO272"/>
    </row>
    <row r="273" spans="1:41" ht="25" customHeight="1" x14ac:dyDescent="0.2">
      <c r="A273" s="12"/>
      <c r="B273" s="214" t="s">
        <v>135</v>
      </c>
      <c r="C273" s="214"/>
      <c r="D273" s="214"/>
      <c r="E273" s="214"/>
      <c r="F273" s="214"/>
      <c r="G273" s="214"/>
      <c r="H273" s="55"/>
      <c r="I273" s="55"/>
      <c r="J273" s="55"/>
      <c r="K273" s="55"/>
      <c r="L273" s="55"/>
      <c r="M273" s="55"/>
      <c r="N273" s="12"/>
      <c r="AD273" s="66"/>
      <c r="AE273" s="6"/>
      <c r="AG273" s="33"/>
      <c r="AJ273" s="66"/>
      <c r="AK273" s="6"/>
      <c r="AM273" s="33"/>
    </row>
    <row r="274" spans="1:41" ht="15" customHeight="1" x14ac:dyDescent="0.2">
      <c r="A274" s="12"/>
      <c r="B274" s="2" t="s">
        <v>21</v>
      </c>
      <c r="C274" s="2" t="s">
        <v>20</v>
      </c>
      <c r="D274" s="2" t="s">
        <v>99</v>
      </c>
      <c r="E274" s="2" t="s">
        <v>3</v>
      </c>
      <c r="F274" s="2" t="s">
        <v>4</v>
      </c>
      <c r="G274" s="2" t="s">
        <v>43</v>
      </c>
      <c r="H274" s="2"/>
      <c r="I274" s="2"/>
      <c r="J274" s="2"/>
      <c r="K274" s="2"/>
      <c r="L274" s="2"/>
      <c r="M274" s="2"/>
      <c r="N274" s="12"/>
      <c r="AD274" s="66"/>
      <c r="AE274" s="6"/>
      <c r="AG274" s="33"/>
      <c r="AJ274" s="66"/>
      <c r="AK274" s="6"/>
      <c r="AM274" s="33"/>
    </row>
    <row r="275" spans="1:41" ht="15" customHeight="1" x14ac:dyDescent="0.2">
      <c r="A275" s="12"/>
      <c r="B275" s="221" t="s">
        <v>14</v>
      </c>
      <c r="C275" s="6" t="str">
        <f t="shared" ref="C275:C294" si="40">C68</f>
        <v>PET</v>
      </c>
      <c r="D275" t="s">
        <v>422</v>
      </c>
      <c r="E275" s="33">
        <f t="shared" ref="E275:E289" si="41">K238+K199+K113+K68</f>
        <v>87.397700000000015</v>
      </c>
      <c r="F275" t="s">
        <v>10</v>
      </c>
      <c r="G275" t="s">
        <v>1007</v>
      </c>
      <c r="H275" s="66"/>
      <c r="I275" s="6"/>
      <c r="N275" s="12"/>
      <c r="AD275" s="66"/>
      <c r="AE275" s="6"/>
      <c r="AG275" s="33"/>
      <c r="AJ275" s="66"/>
      <c r="AK275" s="6"/>
      <c r="AM275" s="33"/>
    </row>
    <row r="276" spans="1:41" ht="15" customHeight="1" x14ac:dyDescent="0.2">
      <c r="A276" s="12"/>
      <c r="B276" s="221"/>
      <c r="C276" s="6" t="str">
        <f t="shared" si="40"/>
        <v>PE</v>
      </c>
      <c r="D276" t="s">
        <v>423</v>
      </c>
      <c r="E276" s="33">
        <f t="shared" si="41"/>
        <v>18.440799999999996</v>
      </c>
      <c r="F276" t="str">
        <f>F275</f>
        <v>kg ww</v>
      </c>
      <c r="G276" t="s">
        <v>1008</v>
      </c>
      <c r="H276" s="66"/>
      <c r="I276" s="6"/>
      <c r="N276" s="12"/>
      <c r="AD276" s="66"/>
      <c r="AE276" s="6"/>
      <c r="AG276" s="33"/>
      <c r="AJ276" s="66"/>
      <c r="AK276" s="6"/>
      <c r="AM276" s="33"/>
    </row>
    <row r="277" spans="1:41" ht="15" customHeight="1" x14ac:dyDescent="0.2">
      <c r="A277" s="12"/>
      <c r="B277" s="221"/>
      <c r="C277" s="6" t="str">
        <f t="shared" si="40"/>
        <v>PP</v>
      </c>
      <c r="D277" t="s">
        <v>424</v>
      </c>
      <c r="E277" s="33">
        <f t="shared" si="41"/>
        <v>0</v>
      </c>
      <c r="F277" t="str">
        <f t="shared" ref="F277:F294" si="42">F276</f>
        <v>kg ww</v>
      </c>
      <c r="G277" t="s">
        <v>1009</v>
      </c>
      <c r="H277" s="66"/>
      <c r="I277" s="6"/>
      <c r="N277" s="12"/>
      <c r="AD277" s="66"/>
      <c r="AE277" s="6"/>
      <c r="AG277" s="33"/>
      <c r="AJ277" s="66"/>
      <c r="AK277" s="6"/>
      <c r="AM277" s="33"/>
    </row>
    <row r="278" spans="1:41" ht="15" customHeight="1" x14ac:dyDescent="0.2">
      <c r="A278" s="12"/>
      <c r="B278" s="221"/>
      <c r="C278" s="6" t="str">
        <f t="shared" si="40"/>
        <v>PS</v>
      </c>
      <c r="D278" t="s">
        <v>425</v>
      </c>
      <c r="E278" s="33">
        <f t="shared" si="41"/>
        <v>0</v>
      </c>
      <c r="F278" t="str">
        <f t="shared" si="42"/>
        <v>kg ww</v>
      </c>
      <c r="G278" t="s">
        <v>1010</v>
      </c>
      <c r="H278" s="66"/>
      <c r="I278" s="6"/>
      <c r="N278" s="12"/>
      <c r="AD278" s="2"/>
      <c r="AE278" s="2"/>
      <c r="AF278" s="2"/>
      <c r="AG278" s="2"/>
      <c r="AH278" s="2"/>
      <c r="AI278" s="2"/>
      <c r="AJ278" s="2"/>
      <c r="AK278" s="2"/>
      <c r="AL278" s="2"/>
      <c r="AM278" s="2"/>
      <c r="AN278" s="2"/>
      <c r="AO278" s="2"/>
    </row>
    <row r="279" spans="1:41" ht="15" customHeight="1" x14ac:dyDescent="0.2">
      <c r="A279" s="12"/>
      <c r="B279" s="221"/>
      <c r="C279" s="6" t="str">
        <f t="shared" si="40"/>
        <v>Other</v>
      </c>
      <c r="D279" t="s">
        <v>426</v>
      </c>
      <c r="E279" s="33">
        <f t="shared" si="41"/>
        <v>0</v>
      </c>
      <c r="F279" t="str">
        <f t="shared" si="42"/>
        <v>kg ww</v>
      </c>
      <c r="G279" t="s">
        <v>1011</v>
      </c>
      <c r="H279" s="66"/>
      <c r="I279" s="6"/>
      <c r="N279" s="12"/>
      <c r="AD279" s="2"/>
      <c r="AE279" s="2"/>
      <c r="AF279" s="2"/>
      <c r="AG279" s="2"/>
      <c r="AH279" s="2"/>
      <c r="AI279" s="2"/>
      <c r="AJ279" s="2"/>
      <c r="AK279" s="2"/>
      <c r="AL279" s="2"/>
      <c r="AM279" s="2"/>
      <c r="AN279" s="2"/>
      <c r="AO279" s="2"/>
    </row>
    <row r="280" spans="1:41" ht="15" customHeight="1" x14ac:dyDescent="0.2">
      <c r="A280" s="12"/>
      <c r="B280" s="221" t="s">
        <v>15</v>
      </c>
      <c r="C280" s="6" t="str">
        <f t="shared" si="40"/>
        <v>PET</v>
      </c>
      <c r="D280" t="s">
        <v>427</v>
      </c>
      <c r="E280" s="33">
        <f t="shared" si="41"/>
        <v>15.199600000000004</v>
      </c>
      <c r="F280" t="str">
        <f t="shared" si="42"/>
        <v>kg ww</v>
      </c>
      <c r="G280" t="s">
        <v>1012</v>
      </c>
      <c r="H280" s="66"/>
      <c r="I280" s="6"/>
      <c r="N280" s="12"/>
      <c r="AD280" s="2"/>
      <c r="AE280" s="2"/>
      <c r="AF280" s="2"/>
      <c r="AG280" s="2"/>
      <c r="AH280" s="2"/>
      <c r="AI280" s="2"/>
      <c r="AJ280" s="2"/>
      <c r="AK280" s="2"/>
      <c r="AL280" s="2"/>
      <c r="AM280" s="2"/>
      <c r="AN280" s="2"/>
      <c r="AO280" s="2"/>
    </row>
    <row r="281" spans="1:41" ht="15" customHeight="1" x14ac:dyDescent="0.2">
      <c r="A281" s="12"/>
      <c r="B281" s="221"/>
      <c r="C281" s="6" t="str">
        <f t="shared" si="40"/>
        <v>PE</v>
      </c>
      <c r="D281" t="s">
        <v>428</v>
      </c>
      <c r="E281" s="33">
        <f t="shared" si="41"/>
        <v>9.8039999999999985</v>
      </c>
      <c r="F281" t="str">
        <f t="shared" si="42"/>
        <v>kg ww</v>
      </c>
      <c r="G281" t="s">
        <v>1013</v>
      </c>
      <c r="H281" s="66"/>
      <c r="I281" s="6"/>
      <c r="N281" s="12"/>
      <c r="AE281" s="33"/>
      <c r="AK281" s="33"/>
    </row>
    <row r="282" spans="1:41" ht="15" customHeight="1" x14ac:dyDescent="0.2">
      <c r="A282" s="12"/>
      <c r="B282" s="221"/>
      <c r="C282" s="6" t="str">
        <f t="shared" si="40"/>
        <v>PP</v>
      </c>
      <c r="D282" t="s">
        <v>429</v>
      </c>
      <c r="E282" s="33">
        <f t="shared" si="41"/>
        <v>32.956000000000003</v>
      </c>
      <c r="F282" t="str">
        <f t="shared" si="42"/>
        <v>kg ww</v>
      </c>
      <c r="G282" t="s">
        <v>1014</v>
      </c>
      <c r="H282" s="66"/>
      <c r="I282" s="6"/>
      <c r="N282" s="12"/>
      <c r="AC282" s="2"/>
      <c r="AE282" s="33"/>
    </row>
    <row r="283" spans="1:41" s="2" customFormat="1" ht="15" customHeight="1" x14ac:dyDescent="0.2">
      <c r="A283" s="11"/>
      <c r="B283" s="221"/>
      <c r="C283" s="6" t="str">
        <f t="shared" si="40"/>
        <v>PS</v>
      </c>
      <c r="D283" t="s">
        <v>430</v>
      </c>
      <c r="E283" s="33">
        <f t="shared" si="41"/>
        <v>5.6070520000000004</v>
      </c>
      <c r="F283" t="str">
        <f t="shared" si="42"/>
        <v>kg ww</v>
      </c>
      <c r="G283" t="s">
        <v>1015</v>
      </c>
      <c r="H283" s="66"/>
      <c r="I283" s="6"/>
      <c r="J283"/>
      <c r="K283"/>
      <c r="L283"/>
      <c r="M283"/>
      <c r="N283" s="11"/>
      <c r="AD283"/>
      <c r="AE283"/>
      <c r="AF283"/>
      <c r="AG283"/>
      <c r="AH283"/>
      <c r="AI283"/>
      <c r="AJ283"/>
      <c r="AK283"/>
      <c r="AL283"/>
      <c r="AM283"/>
      <c r="AN283"/>
      <c r="AO283"/>
    </row>
    <row r="284" spans="1:41" s="2" customFormat="1" ht="15" customHeight="1" x14ac:dyDescent="0.2">
      <c r="A284" s="11"/>
      <c r="B284" s="221"/>
      <c r="C284" s="6" t="str">
        <f t="shared" si="40"/>
        <v>Other</v>
      </c>
      <c r="D284" t="s">
        <v>431</v>
      </c>
      <c r="E284" s="33">
        <f t="shared" si="41"/>
        <v>28.035259999999994</v>
      </c>
      <c r="F284" t="str">
        <f t="shared" si="42"/>
        <v>kg ww</v>
      </c>
      <c r="G284" t="s">
        <v>1016</v>
      </c>
      <c r="H284" s="67"/>
      <c r="I284" s="6"/>
      <c r="J284"/>
      <c r="K284"/>
      <c r="L284"/>
      <c r="M284"/>
      <c r="N284" s="11"/>
      <c r="AC284"/>
      <c r="AD284"/>
      <c r="AE284"/>
      <c r="AF284"/>
      <c r="AG284"/>
      <c r="AH284"/>
      <c r="AI284"/>
      <c r="AJ284"/>
      <c r="AK284"/>
      <c r="AL284"/>
      <c r="AM284"/>
      <c r="AN284"/>
      <c r="AO284"/>
    </row>
    <row r="285" spans="1:41" ht="15" customHeight="1" x14ac:dyDescent="0.2">
      <c r="A285" s="12"/>
      <c r="B285" s="221" t="s">
        <v>42</v>
      </c>
      <c r="C285" s="6" t="str">
        <f t="shared" si="40"/>
        <v>PET</v>
      </c>
      <c r="D285" t="s">
        <v>432</v>
      </c>
      <c r="E285" s="33">
        <f t="shared" si="41"/>
        <v>0</v>
      </c>
      <c r="F285" t="str">
        <f t="shared" si="42"/>
        <v>kg ww</v>
      </c>
      <c r="G285" t="s">
        <v>1017</v>
      </c>
      <c r="H285" s="66"/>
      <c r="I285" s="6"/>
      <c r="N285" s="12"/>
      <c r="AE285" s="33"/>
      <c r="AK285" s="33"/>
    </row>
    <row r="286" spans="1:41" ht="15" customHeight="1" x14ac:dyDescent="0.2">
      <c r="A286" s="12"/>
      <c r="B286" s="221"/>
      <c r="C286" s="6" t="str">
        <f t="shared" si="40"/>
        <v>PE</v>
      </c>
      <c r="D286" t="s">
        <v>433</v>
      </c>
      <c r="E286" s="33">
        <f t="shared" si="41"/>
        <v>98.04000000000002</v>
      </c>
      <c r="F286" t="str">
        <f t="shared" si="42"/>
        <v>kg ww</v>
      </c>
      <c r="G286" t="s">
        <v>1018</v>
      </c>
      <c r="H286" s="66"/>
      <c r="I286" s="6"/>
      <c r="N286" s="12"/>
      <c r="AD286" s="2"/>
      <c r="AE286" s="2"/>
      <c r="AF286" s="2"/>
      <c r="AG286" s="2"/>
      <c r="AH286" s="2"/>
      <c r="AI286" s="2"/>
      <c r="AJ286" s="2"/>
      <c r="AK286" s="2"/>
      <c r="AL286" s="2"/>
      <c r="AM286" s="2"/>
      <c r="AN286" s="2"/>
      <c r="AO286" s="2"/>
    </row>
    <row r="287" spans="1:41" ht="15" customHeight="1" x14ac:dyDescent="0.2">
      <c r="A287" s="12"/>
      <c r="B287" s="221"/>
      <c r="C287" s="6" t="str">
        <f t="shared" si="40"/>
        <v>PP</v>
      </c>
      <c r="D287" t="s">
        <v>434</v>
      </c>
      <c r="E287" s="33">
        <f t="shared" si="41"/>
        <v>0</v>
      </c>
      <c r="F287" t="str">
        <f t="shared" si="42"/>
        <v>kg ww</v>
      </c>
      <c r="G287" t="s">
        <v>1019</v>
      </c>
      <c r="H287" s="66"/>
      <c r="I287" s="6"/>
      <c r="N287" s="12"/>
      <c r="AD287" s="2"/>
      <c r="AE287" s="2"/>
      <c r="AF287" s="2"/>
      <c r="AG287" s="2"/>
      <c r="AH287" s="2"/>
      <c r="AI287" s="2"/>
      <c r="AJ287" s="2"/>
      <c r="AK287" s="2"/>
      <c r="AL287" s="2"/>
      <c r="AM287" s="2"/>
      <c r="AN287" s="2"/>
      <c r="AO287" s="2"/>
    </row>
    <row r="288" spans="1:41" ht="15" customHeight="1" x14ac:dyDescent="0.2">
      <c r="A288" s="12"/>
      <c r="B288" s="221"/>
      <c r="C288" s="6" t="str">
        <f t="shared" si="40"/>
        <v>PS</v>
      </c>
      <c r="D288" t="s">
        <v>435</v>
      </c>
      <c r="E288" s="33">
        <f t="shared" si="41"/>
        <v>0</v>
      </c>
      <c r="F288" t="str">
        <f t="shared" si="42"/>
        <v>kg ww</v>
      </c>
      <c r="G288" t="s">
        <v>1020</v>
      </c>
      <c r="H288" s="66"/>
      <c r="I288" s="6"/>
      <c r="N288" s="12"/>
      <c r="AD288" s="2"/>
      <c r="AE288" s="2"/>
      <c r="AF288" s="2"/>
      <c r="AG288" s="2"/>
      <c r="AH288" s="2"/>
      <c r="AI288" s="2"/>
      <c r="AJ288" s="2"/>
      <c r="AK288" s="2"/>
      <c r="AL288" s="2"/>
      <c r="AM288" s="2"/>
    </row>
    <row r="289" spans="1:41" ht="15" customHeight="1" x14ac:dyDescent="0.2">
      <c r="A289" s="12"/>
      <c r="B289" s="221"/>
      <c r="C289" s="6" t="str">
        <f t="shared" si="40"/>
        <v>Other</v>
      </c>
      <c r="D289" t="s">
        <v>436</v>
      </c>
      <c r="E289" s="33">
        <f t="shared" si="41"/>
        <v>56.070520000000023</v>
      </c>
      <c r="F289" t="str">
        <f t="shared" si="42"/>
        <v>kg ww</v>
      </c>
      <c r="G289" t="s">
        <v>1021</v>
      </c>
      <c r="H289" s="66"/>
      <c r="I289" s="6"/>
      <c r="N289" s="12"/>
    </row>
    <row r="290" spans="1:41" ht="15" customHeight="1" x14ac:dyDescent="0.2">
      <c r="A290" s="12"/>
      <c r="B290" s="221" t="s">
        <v>19</v>
      </c>
      <c r="C290" s="6" t="str">
        <f t="shared" si="40"/>
        <v>PET</v>
      </c>
      <c r="D290" t="s">
        <v>437</v>
      </c>
      <c r="E290" s="33">
        <f>K83+K128</f>
        <v>0</v>
      </c>
      <c r="F290" t="str">
        <f t="shared" si="42"/>
        <v>kg ww</v>
      </c>
      <c r="G290" t="s">
        <v>1022</v>
      </c>
      <c r="H290" s="66"/>
      <c r="I290" s="6"/>
      <c r="N290" s="12"/>
    </row>
    <row r="291" spans="1:41" ht="15" customHeight="1" x14ac:dyDescent="0.2">
      <c r="A291" s="12"/>
      <c r="B291" s="221"/>
      <c r="C291" s="6" t="str">
        <f t="shared" si="40"/>
        <v>PE</v>
      </c>
      <c r="D291" t="s">
        <v>438</v>
      </c>
      <c r="E291" s="33">
        <f t="shared" ref="E291:E294" si="43">K84+K129</f>
        <v>0</v>
      </c>
      <c r="F291" t="str">
        <f t="shared" si="42"/>
        <v>kg ww</v>
      </c>
      <c r="G291" t="s">
        <v>1023</v>
      </c>
      <c r="H291" s="66"/>
      <c r="I291" s="6"/>
      <c r="N291" s="12"/>
    </row>
    <row r="292" spans="1:41" ht="15" customHeight="1" x14ac:dyDescent="0.2">
      <c r="A292" s="12"/>
      <c r="B292" s="221"/>
      <c r="C292" s="6" t="str">
        <f t="shared" si="40"/>
        <v>PP</v>
      </c>
      <c r="D292" t="s">
        <v>439</v>
      </c>
      <c r="E292" s="33">
        <f t="shared" si="43"/>
        <v>0</v>
      </c>
      <c r="F292" t="str">
        <f t="shared" si="42"/>
        <v>kg ww</v>
      </c>
      <c r="G292" t="s">
        <v>1024</v>
      </c>
      <c r="H292" s="66"/>
      <c r="I292" s="6"/>
      <c r="N292" s="12"/>
    </row>
    <row r="293" spans="1:41" ht="15" customHeight="1" x14ac:dyDescent="0.2">
      <c r="A293" s="12"/>
      <c r="B293" s="221"/>
      <c r="C293" s="6" t="str">
        <f t="shared" si="40"/>
        <v>PS</v>
      </c>
      <c r="D293" t="s">
        <v>440</v>
      </c>
      <c r="E293" s="33">
        <f t="shared" si="43"/>
        <v>0</v>
      </c>
      <c r="F293" t="str">
        <f t="shared" si="42"/>
        <v>kg ww</v>
      </c>
      <c r="G293" t="s">
        <v>1025</v>
      </c>
      <c r="H293" s="66"/>
      <c r="I293" s="6"/>
      <c r="N293" s="12"/>
    </row>
    <row r="294" spans="1:41" ht="15" customHeight="1" x14ac:dyDescent="0.2">
      <c r="A294" s="12"/>
      <c r="B294" s="221"/>
      <c r="C294" s="6" t="str">
        <f t="shared" si="40"/>
        <v>Other</v>
      </c>
      <c r="D294" t="s">
        <v>441</v>
      </c>
      <c r="E294" s="33">
        <f t="shared" si="43"/>
        <v>99.999999999999929</v>
      </c>
      <c r="F294" t="str">
        <f t="shared" si="42"/>
        <v>kg ww</v>
      </c>
      <c r="G294" t="s">
        <v>1026</v>
      </c>
      <c r="H294" s="66"/>
      <c r="I294" s="6"/>
      <c r="N294" s="12"/>
      <c r="AC294" s="2"/>
    </row>
    <row r="295" spans="1:41" s="2" customFormat="1" ht="25" customHeight="1" x14ac:dyDescent="0.2">
      <c r="A295" s="11"/>
      <c r="B295" s="214" t="s">
        <v>127</v>
      </c>
      <c r="C295" s="214"/>
      <c r="D295" s="214"/>
      <c r="E295" s="214"/>
      <c r="F295" s="214"/>
      <c r="G295" s="214"/>
      <c r="H295" s="214"/>
      <c r="I295" s="214"/>
      <c r="J295" s="214"/>
      <c r="K295" s="214"/>
      <c r="L295" s="214"/>
      <c r="M295" s="214"/>
      <c r="N295" s="11"/>
      <c r="AD295"/>
      <c r="AE295"/>
      <c r="AF295"/>
      <c r="AG295"/>
      <c r="AH295"/>
      <c r="AI295"/>
      <c r="AJ295"/>
      <c r="AK295"/>
      <c r="AL295"/>
      <c r="AM295"/>
      <c r="AN295"/>
      <c r="AO295"/>
    </row>
    <row r="296" spans="1:41" s="2" customFormat="1" ht="25" customHeight="1" x14ac:dyDescent="0.2">
      <c r="A296" s="11"/>
      <c r="B296" s="214" t="s">
        <v>164</v>
      </c>
      <c r="C296" s="214"/>
      <c r="D296" s="214"/>
      <c r="E296" s="214"/>
      <c r="F296" s="214"/>
      <c r="G296" s="223"/>
      <c r="H296" s="214" t="s">
        <v>218</v>
      </c>
      <c r="I296" s="214"/>
      <c r="J296" s="214"/>
      <c r="K296" s="214"/>
      <c r="L296" s="214"/>
      <c r="M296" s="214"/>
      <c r="N296" s="11"/>
      <c r="AD296"/>
      <c r="AE296"/>
      <c r="AF296"/>
      <c r="AG296"/>
      <c r="AH296"/>
      <c r="AI296"/>
      <c r="AJ296"/>
      <c r="AK296"/>
      <c r="AL296"/>
      <c r="AM296"/>
      <c r="AN296"/>
      <c r="AO296"/>
    </row>
    <row r="297" spans="1:41" s="2" customFormat="1" ht="15" customHeight="1" x14ac:dyDescent="0.2">
      <c r="A297" s="11"/>
      <c r="B297" s="2" t="s">
        <v>21</v>
      </c>
      <c r="C297" s="2" t="s">
        <v>20</v>
      </c>
      <c r="D297" s="2" t="s">
        <v>99</v>
      </c>
      <c r="E297" s="2" t="s">
        <v>3</v>
      </c>
      <c r="F297" s="2" t="s">
        <v>4</v>
      </c>
      <c r="G297" s="4" t="s">
        <v>43</v>
      </c>
      <c r="H297" s="2" t="str">
        <f>B297</f>
        <v>Fraction</v>
      </c>
      <c r="I297" s="2" t="str">
        <f t="shared" ref="I297:L297" si="44">C297</f>
        <v>Sub-fraction</v>
      </c>
      <c r="J297" s="2" t="str">
        <f t="shared" si="44"/>
        <v>Name</v>
      </c>
      <c r="K297" s="2" t="str">
        <f t="shared" si="44"/>
        <v>Value</v>
      </c>
      <c r="L297" s="2" t="str">
        <f t="shared" si="44"/>
        <v>Unit</v>
      </c>
      <c r="M297" s="2" t="str">
        <f>G297</f>
        <v>Equation</v>
      </c>
      <c r="N297" s="11"/>
      <c r="AD297"/>
      <c r="AE297"/>
      <c r="AF297"/>
      <c r="AG297"/>
      <c r="AH297"/>
      <c r="AI297"/>
      <c r="AJ297"/>
      <c r="AK297"/>
      <c r="AL297"/>
      <c r="AM297"/>
      <c r="AN297"/>
      <c r="AO297"/>
    </row>
    <row r="298" spans="1:41" s="2" customFormat="1" ht="15" customHeight="1" x14ac:dyDescent="0.2">
      <c r="A298" s="11"/>
      <c r="B298" s="221" t="s">
        <v>14</v>
      </c>
      <c r="C298" s="6" t="str">
        <f>C275</f>
        <v>PET</v>
      </c>
      <c r="D298" t="s">
        <v>442</v>
      </c>
      <c r="E298">
        <f>$C$265*E275</f>
        <v>4.771477431500001</v>
      </c>
      <c r="F298" t="s">
        <v>10</v>
      </c>
      <c r="G298" s="32" t="s">
        <v>1027</v>
      </c>
      <c r="H298" s="221" t="str">
        <f>B298</f>
        <v>Bottle</v>
      </c>
      <c r="I298" s="6" t="str">
        <f>C298</f>
        <v>PET</v>
      </c>
      <c r="J298" t="s">
        <v>462</v>
      </c>
      <c r="K298" s="33">
        <f>E275-E298</f>
        <v>82.626222568500012</v>
      </c>
      <c r="L298" t="s">
        <v>10</v>
      </c>
      <c r="M298" s="33" t="s">
        <v>1047</v>
      </c>
      <c r="N298" s="11" t="s">
        <v>1005</v>
      </c>
      <c r="AD298"/>
      <c r="AE298"/>
      <c r="AF298"/>
      <c r="AG298"/>
      <c r="AH298"/>
      <c r="AI298"/>
      <c r="AJ298"/>
      <c r="AK298"/>
      <c r="AL298"/>
      <c r="AM298"/>
      <c r="AN298"/>
      <c r="AO298"/>
    </row>
    <row r="299" spans="1:41" s="2" customFormat="1" ht="15" customHeight="1" x14ac:dyDescent="0.2">
      <c r="A299" s="11"/>
      <c r="B299" s="221"/>
      <c r="C299" s="6" t="str">
        <f t="shared" ref="C299:C317" si="45">C276</f>
        <v>PE</v>
      </c>
      <c r="D299" t="s">
        <v>443</v>
      </c>
      <c r="E299">
        <f>$C$265*E276</f>
        <v>1.0067754759999998</v>
      </c>
      <c r="F299" t="str">
        <f>F298</f>
        <v>kg ww</v>
      </c>
      <c r="G299" s="32" t="s">
        <v>1028</v>
      </c>
      <c r="H299" s="221"/>
      <c r="I299" s="6" t="str">
        <f t="shared" ref="I299:I317" si="46">C299</f>
        <v>PE</v>
      </c>
      <c r="J299" t="s">
        <v>463</v>
      </c>
      <c r="K299" s="33">
        <f>E276-E299</f>
        <v>17.434024523999994</v>
      </c>
      <c r="L299" t="str">
        <f>L298</f>
        <v>kg ww</v>
      </c>
      <c r="M299" s="33" t="s">
        <v>1048</v>
      </c>
      <c r="N299" s="11" t="s">
        <v>1005</v>
      </c>
      <c r="AD299"/>
      <c r="AE299"/>
      <c r="AF299"/>
      <c r="AG299"/>
      <c r="AH299"/>
      <c r="AI299"/>
      <c r="AJ299"/>
      <c r="AK299"/>
      <c r="AL299"/>
      <c r="AM299"/>
      <c r="AN299"/>
      <c r="AO299"/>
    </row>
    <row r="300" spans="1:41" s="2" customFormat="1" ht="15" customHeight="1" x14ac:dyDescent="0.2">
      <c r="A300" s="11"/>
      <c r="B300" s="221"/>
      <c r="C300" s="6" t="str">
        <f t="shared" si="45"/>
        <v>PP</v>
      </c>
      <c r="D300" t="s">
        <v>444</v>
      </c>
      <c r="E300">
        <f>$C$265*E277</f>
        <v>0</v>
      </c>
      <c r="F300" t="str">
        <f t="shared" ref="F300:F317" si="47">F299</f>
        <v>kg ww</v>
      </c>
      <c r="G300" s="32" t="s">
        <v>1029</v>
      </c>
      <c r="H300" s="221"/>
      <c r="I300" s="6" t="str">
        <f t="shared" si="46"/>
        <v>PP</v>
      </c>
      <c r="J300" t="s">
        <v>464</v>
      </c>
      <c r="K300" s="33">
        <f>E277-E300</f>
        <v>0</v>
      </c>
      <c r="L300" t="str">
        <f t="shared" ref="L300:L317" si="48">L299</f>
        <v>kg ww</v>
      </c>
      <c r="M300" s="33" t="s">
        <v>1049</v>
      </c>
      <c r="N300" s="11" t="s">
        <v>1005</v>
      </c>
      <c r="AD300"/>
      <c r="AE300"/>
      <c r="AF300"/>
      <c r="AG300"/>
      <c r="AH300"/>
      <c r="AI300"/>
      <c r="AJ300"/>
      <c r="AK300"/>
      <c r="AL300"/>
      <c r="AM300"/>
      <c r="AN300"/>
      <c r="AO300"/>
    </row>
    <row r="301" spans="1:41" s="2" customFormat="1" ht="15" customHeight="1" x14ac:dyDescent="0.2">
      <c r="A301" s="11"/>
      <c r="B301" s="221"/>
      <c r="C301" s="6" t="str">
        <f t="shared" si="45"/>
        <v>PS</v>
      </c>
      <c r="D301" t="s">
        <v>445</v>
      </c>
      <c r="E301">
        <f>$C$265*E278</f>
        <v>0</v>
      </c>
      <c r="F301" t="str">
        <f t="shared" si="47"/>
        <v>kg ww</v>
      </c>
      <c r="G301" s="32" t="s">
        <v>1030</v>
      </c>
      <c r="H301" s="221"/>
      <c r="I301" s="6" t="str">
        <f t="shared" si="46"/>
        <v>PS</v>
      </c>
      <c r="J301" t="s">
        <v>465</v>
      </c>
      <c r="K301" s="33">
        <f t="shared" ref="K301:K317" si="49">E278-E301</f>
        <v>0</v>
      </c>
      <c r="L301" t="str">
        <f t="shared" si="48"/>
        <v>kg ww</v>
      </c>
      <c r="M301" s="33" t="s">
        <v>1050</v>
      </c>
      <c r="N301" s="11" t="s">
        <v>1006</v>
      </c>
      <c r="AD301"/>
      <c r="AE301"/>
      <c r="AF301"/>
      <c r="AG301"/>
      <c r="AH301"/>
      <c r="AI301"/>
      <c r="AJ301"/>
      <c r="AK301"/>
      <c r="AL301"/>
      <c r="AM301"/>
      <c r="AN301"/>
      <c r="AO301"/>
    </row>
    <row r="302" spans="1:41" s="2" customFormat="1" ht="15" customHeight="1" x14ac:dyDescent="0.2">
      <c r="A302" s="11"/>
      <c r="B302" s="221"/>
      <c r="C302" s="6" t="str">
        <f t="shared" si="45"/>
        <v>Other</v>
      </c>
      <c r="D302" t="s">
        <v>446</v>
      </c>
      <c r="E302">
        <f>$C$265*E279</f>
        <v>0</v>
      </c>
      <c r="F302" t="str">
        <f t="shared" si="47"/>
        <v>kg ww</v>
      </c>
      <c r="G302" s="32" t="s">
        <v>1031</v>
      </c>
      <c r="H302" s="221"/>
      <c r="I302" s="6" t="str">
        <f t="shared" si="46"/>
        <v>Other</v>
      </c>
      <c r="J302" t="s">
        <v>466</v>
      </c>
      <c r="K302" s="33">
        <f t="shared" si="49"/>
        <v>0</v>
      </c>
      <c r="L302" t="str">
        <f t="shared" si="48"/>
        <v>kg ww</v>
      </c>
      <c r="M302" s="33" t="s">
        <v>1051</v>
      </c>
      <c r="N302" s="11" t="s">
        <v>1005</v>
      </c>
      <c r="AD302"/>
      <c r="AE302"/>
      <c r="AF302"/>
      <c r="AG302"/>
      <c r="AH302"/>
      <c r="AI302"/>
      <c r="AJ302"/>
      <c r="AK302"/>
      <c r="AL302"/>
      <c r="AM302"/>
      <c r="AN302"/>
      <c r="AO302"/>
    </row>
    <row r="303" spans="1:41" s="2" customFormat="1" ht="15" customHeight="1" x14ac:dyDescent="0.2">
      <c r="A303" s="11"/>
      <c r="B303" s="221" t="s">
        <v>15</v>
      </c>
      <c r="C303" s="6" t="str">
        <f t="shared" si="45"/>
        <v>PET</v>
      </c>
      <c r="D303" t="s">
        <v>447</v>
      </c>
      <c r="E303">
        <f>$C$266*E280</f>
        <v>0.32369068160000009</v>
      </c>
      <c r="F303" t="str">
        <f t="shared" si="47"/>
        <v>kg ww</v>
      </c>
      <c r="G303" s="32" t="s">
        <v>1032</v>
      </c>
      <c r="H303" s="221" t="s">
        <v>15</v>
      </c>
      <c r="I303" s="6" t="str">
        <f t="shared" si="46"/>
        <v>PET</v>
      </c>
      <c r="J303" t="s">
        <v>467</v>
      </c>
      <c r="K303" s="33">
        <f t="shared" si="49"/>
        <v>14.875909318400003</v>
      </c>
      <c r="L303" t="str">
        <f t="shared" si="48"/>
        <v>kg ww</v>
      </c>
      <c r="M303" s="33" t="s">
        <v>1052</v>
      </c>
      <c r="N303" s="11" t="s">
        <v>1005</v>
      </c>
      <c r="AD303"/>
      <c r="AE303"/>
      <c r="AF303"/>
      <c r="AG303"/>
      <c r="AH303"/>
      <c r="AI303"/>
      <c r="AJ303"/>
      <c r="AK303"/>
      <c r="AL303"/>
      <c r="AM303"/>
      <c r="AN303"/>
      <c r="AO303"/>
    </row>
    <row r="304" spans="1:41" s="2" customFormat="1" ht="15" customHeight="1" x14ac:dyDescent="0.2">
      <c r="A304" s="11"/>
      <c r="B304" s="221"/>
      <c r="C304" s="6" t="str">
        <f t="shared" si="45"/>
        <v>PE</v>
      </c>
      <c r="D304" t="s">
        <v>448</v>
      </c>
      <c r="E304">
        <f>$C$266*E281</f>
        <v>0.20878598399999995</v>
      </c>
      <c r="F304" t="str">
        <f t="shared" si="47"/>
        <v>kg ww</v>
      </c>
      <c r="G304" s="32" t="s">
        <v>1033</v>
      </c>
      <c r="H304" s="221"/>
      <c r="I304" s="6" t="str">
        <f t="shared" si="46"/>
        <v>PE</v>
      </c>
      <c r="J304" t="s">
        <v>468</v>
      </c>
      <c r="K304" s="33">
        <f t="shared" si="49"/>
        <v>9.5952140159999981</v>
      </c>
      <c r="L304" t="str">
        <f t="shared" si="48"/>
        <v>kg ww</v>
      </c>
      <c r="M304" s="33" t="s">
        <v>1053</v>
      </c>
      <c r="N304" s="11" t="s">
        <v>1005</v>
      </c>
      <c r="AD304"/>
      <c r="AE304"/>
      <c r="AF304"/>
      <c r="AG304"/>
      <c r="AH304"/>
      <c r="AI304"/>
      <c r="AJ304"/>
      <c r="AK304"/>
      <c r="AL304"/>
      <c r="AM304"/>
      <c r="AN304"/>
      <c r="AO304"/>
    </row>
    <row r="305" spans="1:41" s="2" customFormat="1" ht="15" customHeight="1" x14ac:dyDescent="0.2">
      <c r="A305" s="11"/>
      <c r="B305" s="221"/>
      <c r="C305" s="6" t="str">
        <f t="shared" si="45"/>
        <v>PP</v>
      </c>
      <c r="D305" t="s">
        <v>449</v>
      </c>
      <c r="E305">
        <f>$C$266*E282</f>
        <v>0.701830976</v>
      </c>
      <c r="F305" t="str">
        <f t="shared" si="47"/>
        <v>kg ww</v>
      </c>
      <c r="G305" s="32" t="s">
        <v>1034</v>
      </c>
      <c r="H305" s="221"/>
      <c r="I305" s="6" t="str">
        <f t="shared" si="46"/>
        <v>PP</v>
      </c>
      <c r="J305" t="s">
        <v>469</v>
      </c>
      <c r="K305" s="33">
        <f>E282-E305</f>
        <v>32.254169024000007</v>
      </c>
      <c r="L305" t="str">
        <f t="shared" si="48"/>
        <v>kg ww</v>
      </c>
      <c r="M305" s="33" t="s">
        <v>1054</v>
      </c>
      <c r="N305" s="11" t="s">
        <v>1006</v>
      </c>
      <c r="AD305"/>
      <c r="AE305"/>
      <c r="AF305"/>
      <c r="AG305"/>
      <c r="AH305"/>
      <c r="AI305"/>
      <c r="AJ305"/>
      <c r="AK305"/>
      <c r="AL305"/>
      <c r="AM305"/>
      <c r="AN305"/>
      <c r="AO305"/>
    </row>
    <row r="306" spans="1:41" s="2" customFormat="1" ht="15" customHeight="1" x14ac:dyDescent="0.2">
      <c r="A306" s="11"/>
      <c r="B306" s="221"/>
      <c r="C306" s="6" t="str">
        <f t="shared" si="45"/>
        <v>PS</v>
      </c>
      <c r="D306" t="s">
        <v>450</v>
      </c>
      <c r="E306">
        <f>$C$266*E283</f>
        <v>0.11940777939200001</v>
      </c>
      <c r="F306" t="str">
        <f t="shared" si="47"/>
        <v>kg ww</v>
      </c>
      <c r="G306" s="32" t="s">
        <v>1035</v>
      </c>
      <c r="H306" s="221"/>
      <c r="I306" s="6" t="str">
        <f t="shared" si="46"/>
        <v>PS</v>
      </c>
      <c r="J306" t="s">
        <v>470</v>
      </c>
      <c r="K306" s="33">
        <f t="shared" si="49"/>
        <v>5.4876442206080007</v>
      </c>
      <c r="L306" t="str">
        <f t="shared" si="48"/>
        <v>kg ww</v>
      </c>
      <c r="M306" s="33" t="s">
        <v>1055</v>
      </c>
      <c r="N306" s="11" t="s">
        <v>1005</v>
      </c>
      <c r="AD306"/>
      <c r="AE306"/>
      <c r="AF306"/>
      <c r="AG306"/>
      <c r="AH306"/>
      <c r="AI306"/>
      <c r="AJ306"/>
      <c r="AK306"/>
      <c r="AL306"/>
      <c r="AM306"/>
      <c r="AN306"/>
      <c r="AO306"/>
    </row>
    <row r="307" spans="1:41" s="2" customFormat="1" ht="15" customHeight="1" x14ac:dyDescent="0.2">
      <c r="A307" s="11"/>
      <c r="B307" s="221"/>
      <c r="C307" s="6" t="str">
        <f t="shared" si="45"/>
        <v>Other</v>
      </c>
      <c r="D307" t="s">
        <v>451</v>
      </c>
      <c r="E307">
        <f>$C$266*E284</f>
        <v>0.59703889695999979</v>
      </c>
      <c r="F307" t="str">
        <f t="shared" si="47"/>
        <v>kg ww</v>
      </c>
      <c r="G307" s="32" t="s">
        <v>1036</v>
      </c>
      <c r="H307" s="221"/>
      <c r="I307" s="6" t="str">
        <f t="shared" si="46"/>
        <v>Other</v>
      </c>
      <c r="J307" t="s">
        <v>471</v>
      </c>
      <c r="K307" s="33">
        <f t="shared" si="49"/>
        <v>27.438221103039993</v>
      </c>
      <c r="L307" t="str">
        <f t="shared" si="48"/>
        <v>kg ww</v>
      </c>
      <c r="M307" s="33" t="s">
        <v>1056</v>
      </c>
      <c r="N307" s="11" t="s">
        <v>1005</v>
      </c>
      <c r="AD307"/>
      <c r="AE307"/>
      <c r="AF307"/>
      <c r="AG307"/>
      <c r="AH307"/>
      <c r="AI307"/>
      <c r="AJ307"/>
      <c r="AK307"/>
      <c r="AL307"/>
      <c r="AM307"/>
      <c r="AN307"/>
      <c r="AO307"/>
    </row>
    <row r="308" spans="1:41" s="2" customFormat="1" ht="15" customHeight="1" x14ac:dyDescent="0.2">
      <c r="A308" s="11"/>
      <c r="B308" s="221" t="s">
        <v>42</v>
      </c>
      <c r="C308" s="6" t="str">
        <f t="shared" si="45"/>
        <v>PET</v>
      </c>
      <c r="D308" t="s">
        <v>452</v>
      </c>
      <c r="E308">
        <f>$C$267*E285</f>
        <v>0</v>
      </c>
      <c r="F308" t="str">
        <f t="shared" si="47"/>
        <v>kg ww</v>
      </c>
      <c r="G308" s="32" t="s">
        <v>1037</v>
      </c>
      <c r="H308" s="221" t="s">
        <v>42</v>
      </c>
      <c r="I308" s="6" t="str">
        <f t="shared" si="46"/>
        <v>PET</v>
      </c>
      <c r="J308" t="s">
        <v>472</v>
      </c>
      <c r="K308" s="33">
        <f t="shared" si="49"/>
        <v>0</v>
      </c>
      <c r="L308" t="str">
        <f t="shared" si="48"/>
        <v>kg ww</v>
      </c>
      <c r="M308" s="33" t="s">
        <v>1057</v>
      </c>
      <c r="N308" s="11" t="s">
        <v>1005</v>
      </c>
      <c r="AD308"/>
      <c r="AE308"/>
      <c r="AF308"/>
      <c r="AG308"/>
      <c r="AH308"/>
      <c r="AI308"/>
      <c r="AJ308"/>
      <c r="AK308"/>
      <c r="AL308"/>
      <c r="AM308"/>
      <c r="AN308"/>
      <c r="AO308"/>
    </row>
    <row r="309" spans="1:41" s="2" customFormat="1" ht="15" customHeight="1" x14ac:dyDescent="0.2">
      <c r="A309" s="11"/>
      <c r="B309" s="221"/>
      <c r="C309" s="6" t="str">
        <f t="shared" si="45"/>
        <v>PE</v>
      </c>
      <c r="D309" t="s">
        <v>453</v>
      </c>
      <c r="E309">
        <f>$C$267*E286</f>
        <v>3.705088464000001</v>
      </c>
      <c r="F309" t="str">
        <f t="shared" si="47"/>
        <v>kg ww</v>
      </c>
      <c r="G309" s="32" t="s">
        <v>1038</v>
      </c>
      <c r="H309" s="221"/>
      <c r="I309" s="6" t="str">
        <f t="shared" si="46"/>
        <v>PE</v>
      </c>
      <c r="J309" t="s">
        <v>473</v>
      </c>
      <c r="K309" s="33">
        <f t="shared" si="49"/>
        <v>94.334911536000021</v>
      </c>
      <c r="L309" t="str">
        <f t="shared" si="48"/>
        <v>kg ww</v>
      </c>
      <c r="M309" s="33" t="s">
        <v>1058</v>
      </c>
      <c r="N309" s="11" t="s">
        <v>1006</v>
      </c>
      <c r="AD309"/>
      <c r="AE309"/>
      <c r="AF309"/>
      <c r="AG309"/>
      <c r="AH309"/>
      <c r="AI309"/>
      <c r="AJ309"/>
      <c r="AK309"/>
      <c r="AL309"/>
      <c r="AM309"/>
      <c r="AN309"/>
      <c r="AO309"/>
    </row>
    <row r="310" spans="1:41" s="2" customFormat="1" ht="15" customHeight="1" x14ac:dyDescent="0.2">
      <c r="A310" s="11"/>
      <c r="B310" s="221"/>
      <c r="C310" s="6" t="str">
        <f t="shared" si="45"/>
        <v>PP</v>
      </c>
      <c r="D310" t="s">
        <v>454</v>
      </c>
      <c r="E310">
        <f>$C$267*E287</f>
        <v>0</v>
      </c>
      <c r="F310" t="str">
        <f t="shared" si="47"/>
        <v>kg ww</v>
      </c>
      <c r="G310" s="32" t="s">
        <v>1039</v>
      </c>
      <c r="H310" s="221"/>
      <c r="I310" s="6" t="str">
        <f t="shared" si="46"/>
        <v>PP</v>
      </c>
      <c r="J310" t="s">
        <v>474</v>
      </c>
      <c r="K310" s="33">
        <f t="shared" si="49"/>
        <v>0</v>
      </c>
      <c r="L310" t="str">
        <f t="shared" si="48"/>
        <v>kg ww</v>
      </c>
      <c r="M310" s="33" t="s">
        <v>1059</v>
      </c>
      <c r="N310" s="11" t="s">
        <v>1005</v>
      </c>
      <c r="AD310"/>
      <c r="AE310"/>
      <c r="AF310"/>
      <c r="AG310"/>
      <c r="AH310"/>
      <c r="AI310"/>
      <c r="AJ310"/>
      <c r="AK310"/>
      <c r="AL310"/>
      <c r="AM310"/>
      <c r="AN310"/>
      <c r="AO310"/>
    </row>
    <row r="311" spans="1:41" s="2" customFormat="1" ht="15" customHeight="1" x14ac:dyDescent="0.2">
      <c r="A311" s="11"/>
      <c r="B311" s="221"/>
      <c r="C311" s="6" t="str">
        <f t="shared" si="45"/>
        <v>PS</v>
      </c>
      <c r="D311" t="s">
        <v>455</v>
      </c>
      <c r="E311">
        <f>$C$267*E288</f>
        <v>0</v>
      </c>
      <c r="F311" t="str">
        <f t="shared" si="47"/>
        <v>kg ww</v>
      </c>
      <c r="G311" s="32" t="s">
        <v>1040</v>
      </c>
      <c r="H311" s="221"/>
      <c r="I311" s="6" t="str">
        <f t="shared" si="46"/>
        <v>PS</v>
      </c>
      <c r="J311" t="s">
        <v>475</v>
      </c>
      <c r="K311" s="33">
        <f t="shared" si="49"/>
        <v>0</v>
      </c>
      <c r="L311" t="str">
        <f t="shared" si="48"/>
        <v>kg ww</v>
      </c>
      <c r="M311" s="33" t="s">
        <v>1060</v>
      </c>
      <c r="N311" s="11" t="s">
        <v>1005</v>
      </c>
      <c r="AC311"/>
      <c r="AD311"/>
      <c r="AE311"/>
      <c r="AF311"/>
      <c r="AG311"/>
      <c r="AH311"/>
      <c r="AI311"/>
      <c r="AJ311"/>
      <c r="AK311"/>
      <c r="AL311"/>
      <c r="AM311"/>
      <c r="AN311"/>
      <c r="AO311"/>
    </row>
    <row r="312" spans="1:41" ht="15" customHeight="1" x14ac:dyDescent="0.2">
      <c r="A312" s="12"/>
      <c r="B312" s="221"/>
      <c r="C312" s="6" t="str">
        <f t="shared" si="45"/>
        <v>Other</v>
      </c>
      <c r="D312" t="s">
        <v>456</v>
      </c>
      <c r="E312">
        <f>$C$267*E289</f>
        <v>2.1189946636320012</v>
      </c>
      <c r="F312" t="str">
        <f t="shared" si="47"/>
        <v>kg ww</v>
      </c>
      <c r="G312" s="32" t="s">
        <v>1041</v>
      </c>
      <c r="H312" s="221"/>
      <c r="I312" s="6" t="str">
        <f t="shared" si="46"/>
        <v>Other</v>
      </c>
      <c r="J312" t="s">
        <v>476</v>
      </c>
      <c r="K312" s="33">
        <f t="shared" si="49"/>
        <v>53.951525336368022</v>
      </c>
      <c r="L312" t="str">
        <f t="shared" si="48"/>
        <v>kg ww</v>
      </c>
      <c r="M312" s="33" t="s">
        <v>1061</v>
      </c>
      <c r="N312" s="12" t="s">
        <v>1006</v>
      </c>
    </row>
    <row r="313" spans="1:41" ht="15" customHeight="1" x14ac:dyDescent="0.2">
      <c r="A313" s="12"/>
      <c r="B313" s="221" t="s">
        <v>19</v>
      </c>
      <c r="C313" s="6" t="str">
        <f t="shared" si="45"/>
        <v>PET</v>
      </c>
      <c r="D313" t="s">
        <v>457</v>
      </c>
      <c r="E313">
        <f>$C$268*E290</f>
        <v>0</v>
      </c>
      <c r="F313" t="str">
        <f t="shared" si="47"/>
        <v>kg ww</v>
      </c>
      <c r="G313" s="32" t="s">
        <v>1042</v>
      </c>
      <c r="H313" s="221" t="s">
        <v>19</v>
      </c>
      <c r="I313" s="6" t="str">
        <f t="shared" si="46"/>
        <v>PET</v>
      </c>
      <c r="J313" t="s">
        <v>477</v>
      </c>
      <c r="K313" s="33">
        <f t="shared" si="49"/>
        <v>0</v>
      </c>
      <c r="L313" t="str">
        <f t="shared" si="48"/>
        <v>kg ww</v>
      </c>
      <c r="M313" s="33" t="s">
        <v>1062</v>
      </c>
      <c r="N313" s="12" t="s">
        <v>1005</v>
      </c>
    </row>
    <row r="314" spans="1:41" ht="15" customHeight="1" x14ac:dyDescent="0.2">
      <c r="A314" s="12"/>
      <c r="B314" s="221"/>
      <c r="C314" s="6" t="str">
        <f t="shared" si="45"/>
        <v>PE</v>
      </c>
      <c r="D314" t="s">
        <v>458</v>
      </c>
      <c r="E314">
        <f>$C$268*E291</f>
        <v>0</v>
      </c>
      <c r="F314" t="str">
        <f t="shared" si="47"/>
        <v>kg ww</v>
      </c>
      <c r="G314" s="32" t="s">
        <v>1043</v>
      </c>
      <c r="H314" s="221"/>
      <c r="I314" s="6" t="str">
        <f t="shared" si="46"/>
        <v>PE</v>
      </c>
      <c r="J314" t="s">
        <v>478</v>
      </c>
      <c r="K314" s="33">
        <f t="shared" si="49"/>
        <v>0</v>
      </c>
      <c r="L314" t="str">
        <f t="shared" si="48"/>
        <v>kg ww</v>
      </c>
      <c r="M314" s="33" t="s">
        <v>1063</v>
      </c>
      <c r="N314" s="12" t="s">
        <v>1005</v>
      </c>
    </row>
    <row r="315" spans="1:41" ht="15" customHeight="1" x14ac:dyDescent="0.2">
      <c r="A315" s="12"/>
      <c r="B315" s="221"/>
      <c r="C315" s="6" t="str">
        <f t="shared" si="45"/>
        <v>PP</v>
      </c>
      <c r="D315" t="s">
        <v>459</v>
      </c>
      <c r="E315">
        <f>$C$268*E292</f>
        <v>0</v>
      </c>
      <c r="F315" t="str">
        <f t="shared" si="47"/>
        <v>kg ww</v>
      </c>
      <c r="G315" s="32" t="s">
        <v>1044</v>
      </c>
      <c r="H315" s="221"/>
      <c r="I315" s="6" t="str">
        <f t="shared" si="46"/>
        <v>PP</v>
      </c>
      <c r="J315" t="s">
        <v>479</v>
      </c>
      <c r="K315" s="33">
        <f t="shared" si="49"/>
        <v>0</v>
      </c>
      <c r="L315" t="str">
        <f t="shared" si="48"/>
        <v>kg ww</v>
      </c>
      <c r="M315" s="33" t="s">
        <v>1064</v>
      </c>
      <c r="N315" s="12" t="s">
        <v>1005</v>
      </c>
    </row>
    <row r="316" spans="1:41" ht="15" customHeight="1" x14ac:dyDescent="0.2">
      <c r="A316" s="12"/>
      <c r="B316" s="221"/>
      <c r="C316" s="6" t="str">
        <f t="shared" si="45"/>
        <v>PS</v>
      </c>
      <c r="D316" t="s">
        <v>460</v>
      </c>
      <c r="E316">
        <f>$C$268*E293</f>
        <v>0</v>
      </c>
      <c r="F316" t="str">
        <f t="shared" si="47"/>
        <v>kg ww</v>
      </c>
      <c r="G316" s="32" t="s">
        <v>1045</v>
      </c>
      <c r="H316" s="221"/>
      <c r="I316" s="6" t="str">
        <f t="shared" si="46"/>
        <v>PS</v>
      </c>
      <c r="J316" t="s">
        <v>480</v>
      </c>
      <c r="K316" s="33">
        <f t="shared" si="49"/>
        <v>0</v>
      </c>
      <c r="L316" t="str">
        <f t="shared" si="48"/>
        <v>kg ww</v>
      </c>
      <c r="M316" s="33" t="s">
        <v>1065</v>
      </c>
      <c r="N316" s="12" t="s">
        <v>1005</v>
      </c>
    </row>
    <row r="317" spans="1:41" ht="15" customHeight="1" x14ac:dyDescent="0.2">
      <c r="A317" s="12"/>
      <c r="B317" s="231"/>
      <c r="C317" s="60" t="str">
        <f t="shared" si="45"/>
        <v>Other</v>
      </c>
      <c r="D317" s="44" t="s">
        <v>461</v>
      </c>
      <c r="E317" s="44">
        <f>$C$268*E294</f>
        <v>5.1094999999999962</v>
      </c>
      <c r="F317" s="44" t="str">
        <f t="shared" si="47"/>
        <v>kg ww</v>
      </c>
      <c r="G317" s="61" t="s">
        <v>1046</v>
      </c>
      <c r="H317" s="221"/>
      <c r="I317" s="6" t="str">
        <f t="shared" si="46"/>
        <v>Other</v>
      </c>
      <c r="J317" t="s">
        <v>481</v>
      </c>
      <c r="K317" s="33">
        <f t="shared" si="49"/>
        <v>94.890499999999932</v>
      </c>
      <c r="L317" t="str">
        <f t="shared" si="48"/>
        <v>kg ww</v>
      </c>
      <c r="M317" s="33" t="s">
        <v>1066</v>
      </c>
      <c r="N317" s="12" t="s">
        <v>1005</v>
      </c>
    </row>
    <row r="318" spans="1:41" ht="25" customHeight="1" x14ac:dyDescent="0.2">
      <c r="A318" s="12"/>
      <c r="B318" s="214" t="s">
        <v>166</v>
      </c>
      <c r="C318" s="214"/>
      <c r="D318" s="214"/>
      <c r="E318" s="214"/>
      <c r="F318" s="214"/>
      <c r="G318" s="214"/>
      <c r="H318" s="214"/>
      <c r="I318" s="214"/>
      <c r="J318" s="214"/>
      <c r="K318" s="214"/>
      <c r="L318" s="214"/>
      <c r="M318" s="214"/>
      <c r="N318" s="12" t="s">
        <v>1005</v>
      </c>
    </row>
    <row r="319" spans="1:41" ht="15" customHeight="1" x14ac:dyDescent="0.2">
      <c r="A319" s="12"/>
      <c r="B319" s="2" t="str">
        <f>B254</f>
        <v>Parameter</v>
      </c>
      <c r="C319" s="2" t="str">
        <f>C254</f>
        <v>Value</v>
      </c>
      <c r="D319" s="2" t="str">
        <f>D254</f>
        <v>Unit</v>
      </c>
      <c r="E319" s="2" t="str">
        <f>E254</f>
        <v>Description</v>
      </c>
      <c r="F319" s="2"/>
      <c r="G319" s="1"/>
      <c r="H319" s="2" t="str">
        <f>H254</f>
        <v>Parameter</v>
      </c>
      <c r="I319" s="2" t="str">
        <f>I254</f>
        <v>Value</v>
      </c>
      <c r="J319" s="2" t="str">
        <f>J254</f>
        <v>Unit</v>
      </c>
      <c r="K319" s="2" t="str">
        <f>K254</f>
        <v>Description</v>
      </c>
      <c r="L319" s="2"/>
      <c r="M319" s="2"/>
      <c r="N319" s="12"/>
    </row>
    <row r="320" spans="1:41" ht="15" customHeight="1" x14ac:dyDescent="0.2">
      <c r="A320" s="12"/>
      <c r="B320" t="s">
        <v>482</v>
      </c>
      <c r="C320">
        <f>SUM(E298:E302)</f>
        <v>5.7782529075000006</v>
      </c>
      <c r="D320" t="s">
        <v>126</v>
      </c>
      <c r="E320" t="s">
        <v>1202</v>
      </c>
      <c r="G320" s="32"/>
      <c r="H320" t="s">
        <v>487</v>
      </c>
      <c r="I320" s="33">
        <f>SUM(K298:K302)</f>
        <v>100.06024709250001</v>
      </c>
      <c r="J320" t="s">
        <v>10</v>
      </c>
      <c r="K320" t="s">
        <v>1207</v>
      </c>
      <c r="N320" s="12"/>
      <c r="AC320" s="2"/>
    </row>
    <row r="321" spans="1:41" s="2" customFormat="1" ht="15" customHeight="1" x14ac:dyDescent="0.2">
      <c r="A321" s="11"/>
      <c r="B321" t="s">
        <v>483</v>
      </c>
      <c r="C321">
        <f>SUM(E303:E307)</f>
        <v>1.9507543179519999</v>
      </c>
      <c r="D321" t="str">
        <f>D320</f>
        <v xml:space="preserve">kg </v>
      </c>
      <c r="E321" t="s">
        <v>1203</v>
      </c>
      <c r="F321"/>
      <c r="G321" s="32"/>
      <c r="H321" t="s">
        <v>488</v>
      </c>
      <c r="I321" s="33">
        <f>SUM(K303:K307)</f>
        <v>89.651157682048009</v>
      </c>
      <c r="J321" t="str">
        <f>J320</f>
        <v>kg ww</v>
      </c>
      <c r="K321" t="s">
        <v>1208</v>
      </c>
      <c r="L321"/>
      <c r="M321"/>
      <c r="N321" s="11"/>
      <c r="AD321"/>
      <c r="AE321"/>
      <c r="AF321"/>
      <c r="AG321"/>
      <c r="AH321"/>
      <c r="AI321"/>
      <c r="AJ321"/>
      <c r="AK321"/>
      <c r="AL321"/>
      <c r="AM321"/>
      <c r="AN321"/>
      <c r="AO321"/>
    </row>
    <row r="322" spans="1:41" s="2" customFormat="1" ht="15" customHeight="1" x14ac:dyDescent="0.2">
      <c r="A322" s="11"/>
      <c r="B322" t="s">
        <v>484</v>
      </c>
      <c r="C322">
        <f>SUM(E308:E312)</f>
        <v>5.8240831276320026</v>
      </c>
      <c r="D322" t="str">
        <f t="shared" ref="D322" si="50">D321</f>
        <v xml:space="preserve">kg </v>
      </c>
      <c r="E322" t="s">
        <v>1204</v>
      </c>
      <c r="F322"/>
      <c r="G322" s="32"/>
      <c r="H322" t="s">
        <v>489</v>
      </c>
      <c r="I322" s="33">
        <f>SUM(K308:K312)</f>
        <v>148.28643687236803</v>
      </c>
      <c r="J322" t="str">
        <f t="shared" ref="J322:J323" si="51">J321</f>
        <v>kg ww</v>
      </c>
      <c r="K322" t="s">
        <v>1209</v>
      </c>
      <c r="L322"/>
      <c r="M322"/>
      <c r="N322" s="11"/>
      <c r="AC322"/>
      <c r="AD322"/>
      <c r="AE322"/>
      <c r="AF322"/>
      <c r="AG322"/>
      <c r="AH322"/>
      <c r="AI322"/>
      <c r="AJ322"/>
      <c r="AK322"/>
      <c r="AL322"/>
      <c r="AM322"/>
      <c r="AN322"/>
      <c r="AO322"/>
    </row>
    <row r="323" spans="1:41" ht="15" customHeight="1" thickBot="1" x14ac:dyDescent="0.25">
      <c r="A323" s="12"/>
      <c r="B323" s="8" t="s">
        <v>485</v>
      </c>
      <c r="C323" s="8">
        <f>SUM(E313:E317)</f>
        <v>5.1094999999999962</v>
      </c>
      <c r="D323" s="8" t="str">
        <f>D322</f>
        <v xml:space="preserve">kg </v>
      </c>
      <c r="E323" s="8" t="s">
        <v>1205</v>
      </c>
      <c r="F323" s="8"/>
      <c r="G323" s="87"/>
      <c r="H323" s="8" t="s">
        <v>490</v>
      </c>
      <c r="I323" s="34">
        <f>SUM(K313:K317)</f>
        <v>94.890499999999932</v>
      </c>
      <c r="J323" s="8" t="str">
        <f t="shared" si="51"/>
        <v>kg ww</v>
      </c>
      <c r="K323" s="8" t="s">
        <v>1210</v>
      </c>
      <c r="L323" s="8"/>
      <c r="M323" s="8"/>
      <c r="N323" s="12"/>
    </row>
    <row r="324" spans="1:41" ht="15" customHeight="1" thickTop="1" x14ac:dyDescent="0.2">
      <c r="A324" s="12"/>
      <c r="B324" s="44" t="s">
        <v>486</v>
      </c>
      <c r="C324" s="44">
        <f>SUM(C320:C323)</f>
        <v>18.662590353083999</v>
      </c>
      <c r="D324" s="44" t="str">
        <f>D322</f>
        <v xml:space="preserve">kg </v>
      </c>
      <c r="E324" s="44" t="s">
        <v>1206</v>
      </c>
      <c r="F324" s="44"/>
      <c r="G324" s="61"/>
      <c r="H324" s="44" t="s">
        <v>491</v>
      </c>
      <c r="I324" s="62">
        <f>SUM(I320:I323)</f>
        <v>432.88834164691599</v>
      </c>
      <c r="J324" s="44" t="str">
        <f>J322</f>
        <v>kg ww</v>
      </c>
      <c r="K324" s="44" t="s">
        <v>1211</v>
      </c>
      <c r="L324" s="44"/>
      <c r="M324" s="44"/>
      <c r="N324" s="12"/>
    </row>
    <row r="325" spans="1:41" ht="15" customHeight="1" x14ac:dyDescent="0.2">
      <c r="A325" s="12"/>
      <c r="B325" s="125" t="s">
        <v>2704</v>
      </c>
      <c r="C325" s="125" t="str">
        <f>IF(C324+I324=I258+I219+I139+I94,"true")</f>
        <v>true</v>
      </c>
      <c r="D325" s="125"/>
      <c r="E325" s="125"/>
      <c r="F325" s="125"/>
      <c r="G325" s="125"/>
      <c r="H325" s="125"/>
      <c r="I325" s="125"/>
      <c r="J325" s="125"/>
      <c r="K325" s="125"/>
      <c r="L325" s="125"/>
      <c r="M325" s="125"/>
      <c r="N325" s="12"/>
    </row>
    <row r="326" spans="1:41" ht="15" customHeight="1" x14ac:dyDescent="0.2">
      <c r="A326" s="12"/>
      <c r="B326" s="12"/>
      <c r="C326" s="12"/>
      <c r="D326" s="12"/>
      <c r="E326" s="12"/>
      <c r="F326" s="12"/>
      <c r="G326" s="12"/>
      <c r="H326" s="12"/>
      <c r="I326" s="12"/>
      <c r="J326" s="12"/>
      <c r="K326" s="12"/>
      <c r="L326" s="12"/>
      <c r="M326" s="12"/>
      <c r="N326" s="12"/>
    </row>
    <row r="327" spans="1:41" ht="15" customHeight="1" x14ac:dyDescent="0.2">
      <c r="A327" s="12"/>
      <c r="B327" s="12"/>
      <c r="C327" s="12"/>
      <c r="D327" s="12"/>
      <c r="E327" s="12"/>
      <c r="F327" s="12"/>
      <c r="G327" s="12"/>
      <c r="H327" s="12"/>
      <c r="I327" s="12"/>
      <c r="J327" s="12"/>
      <c r="K327" s="12"/>
      <c r="L327" s="12"/>
      <c r="M327" s="12"/>
      <c r="N327" s="12"/>
    </row>
    <row r="328" spans="1:41" ht="15" customHeight="1" x14ac:dyDescent="0.2">
      <c r="A328" s="12"/>
      <c r="B328" s="12"/>
      <c r="C328" s="12"/>
      <c r="D328" s="12"/>
      <c r="E328" s="12"/>
      <c r="F328" s="12"/>
      <c r="G328" s="12"/>
      <c r="H328" s="12"/>
      <c r="I328" s="12"/>
      <c r="J328" s="12"/>
      <c r="K328" s="12"/>
      <c r="L328" s="12"/>
      <c r="M328" s="12"/>
      <c r="N328" s="12"/>
    </row>
    <row r="329" spans="1:41" ht="25" customHeight="1" x14ac:dyDescent="0.2">
      <c r="A329" s="12"/>
      <c r="B329" s="214" t="s">
        <v>2919</v>
      </c>
      <c r="C329" s="214"/>
      <c r="D329" s="214"/>
      <c r="E329" s="214"/>
      <c r="F329" s="214"/>
      <c r="G329" s="214"/>
      <c r="H329" s="214"/>
      <c r="I329" s="214"/>
      <c r="J329" s="214"/>
      <c r="K329" s="214"/>
      <c r="L329" s="214"/>
      <c r="M329" s="214"/>
      <c r="N329" s="12"/>
    </row>
    <row r="330" spans="1:41" ht="15" customHeight="1" x14ac:dyDescent="0.2">
      <c r="A330" s="12"/>
      <c r="B330" s="114" t="str">
        <f t="shared" ref="B330:H330" si="52">B264</f>
        <v>Parameters</v>
      </c>
      <c r="C330" s="114" t="str">
        <f t="shared" si="52"/>
        <v>Value</v>
      </c>
      <c r="D330" s="114" t="str">
        <f t="shared" si="52"/>
        <v>Unit</v>
      </c>
      <c r="E330" s="114" t="str">
        <f t="shared" si="52"/>
        <v>Min</v>
      </c>
      <c r="F330" s="114" t="str">
        <f t="shared" si="52"/>
        <v>Max</v>
      </c>
      <c r="G330" s="114" t="str">
        <f t="shared" si="52"/>
        <v>Description</v>
      </c>
      <c r="H330" s="114" t="str">
        <f t="shared" si="52"/>
        <v>Reference</v>
      </c>
      <c r="I330" s="106"/>
      <c r="J330" s="106"/>
      <c r="K330" s="106"/>
      <c r="L330" s="106"/>
      <c r="M330" s="106"/>
      <c r="N330" s="12"/>
    </row>
    <row r="331" spans="1:41" ht="15" customHeight="1" x14ac:dyDescent="0.2">
      <c r="A331" s="12"/>
      <c r="B331" s="106" t="str">
        <f>'info, structure, parameters'!A188</f>
        <v>CC_efficiency</v>
      </c>
      <c r="C331" s="106">
        <f>'info, structure, parameters'!B188</f>
        <v>0.9</v>
      </c>
      <c r="D331" s="106" t="str">
        <f>'info, structure, parameters'!C188</f>
        <v>%</v>
      </c>
      <c r="E331" s="106">
        <f>'info, structure, parameters'!D188</f>
        <v>0.85</v>
      </c>
      <c r="F331" s="106">
        <f>'info, structure, parameters'!E188</f>
        <v>0.9</v>
      </c>
      <c r="G331" s="106" t="str">
        <f>'info, structure, parameters'!F188</f>
        <v>Carbon capture efficiency</v>
      </c>
      <c r="H331" s="106">
        <f>'info, structure, parameters'!G188</f>
        <v>4</v>
      </c>
      <c r="I331" s="106"/>
      <c r="J331" s="106"/>
      <c r="K331" s="106"/>
      <c r="L331" s="106"/>
      <c r="M331" s="106"/>
      <c r="N331" s="12"/>
    </row>
    <row r="332" spans="1:41" ht="25" customHeight="1" x14ac:dyDescent="0.2">
      <c r="A332" s="12"/>
      <c r="B332" s="214" t="s">
        <v>146</v>
      </c>
      <c r="C332" s="214"/>
      <c r="D332" s="214"/>
      <c r="E332" s="214"/>
      <c r="F332" s="214"/>
      <c r="G332" s="214"/>
      <c r="H332" s="214"/>
      <c r="I332" s="214"/>
      <c r="J332" s="214"/>
      <c r="K332" s="214"/>
      <c r="L332" s="214"/>
      <c r="M332" s="214"/>
      <c r="N332" s="12"/>
    </row>
    <row r="333" spans="1:41" ht="25" customHeight="1" x14ac:dyDescent="0.2">
      <c r="A333" s="12"/>
      <c r="B333" s="214" t="s">
        <v>2920</v>
      </c>
      <c r="C333" s="214"/>
      <c r="D333" s="214"/>
      <c r="E333" s="214"/>
      <c r="F333" s="214"/>
      <c r="G333" s="223"/>
      <c r="H333" s="230" t="s">
        <v>148</v>
      </c>
      <c r="I333" s="214"/>
      <c r="J333" s="214"/>
      <c r="K333" s="214"/>
      <c r="L333" s="214"/>
      <c r="M333" s="214"/>
      <c r="N333" s="12"/>
    </row>
    <row r="334" spans="1:41" ht="15" customHeight="1" x14ac:dyDescent="0.2">
      <c r="A334" s="12"/>
      <c r="B334" s="2" t="s">
        <v>21</v>
      </c>
      <c r="C334" s="2" t="s">
        <v>20</v>
      </c>
      <c r="D334" s="2" t="s">
        <v>99</v>
      </c>
      <c r="E334" s="2" t="s">
        <v>3</v>
      </c>
      <c r="F334" s="2" t="s">
        <v>4</v>
      </c>
      <c r="G334" s="4" t="s">
        <v>43</v>
      </c>
      <c r="H334" s="2" t="str">
        <f>B334</f>
        <v>Fraction</v>
      </c>
      <c r="I334" s="2" t="str">
        <f t="shared" ref="I334" si="53">C334</f>
        <v>Sub-fraction</v>
      </c>
      <c r="J334" s="2" t="str">
        <f t="shared" ref="J334" si="54">D334</f>
        <v>Name</v>
      </c>
      <c r="K334" s="2" t="str">
        <f t="shared" ref="K334" si="55">E334</f>
        <v>Value</v>
      </c>
      <c r="L334" s="2" t="str">
        <f t="shared" ref="L334" si="56">F334</f>
        <v>Unit</v>
      </c>
      <c r="M334" s="2" t="str">
        <f>G334</f>
        <v>Equation</v>
      </c>
      <c r="N334" s="12"/>
    </row>
    <row r="335" spans="1:41" ht="15" customHeight="1" x14ac:dyDescent="0.2">
      <c r="A335" s="12"/>
      <c r="B335" s="221" t="s">
        <v>14</v>
      </c>
      <c r="C335" s="6" t="str">
        <f>C298</f>
        <v>PET</v>
      </c>
      <c r="D335" t="s">
        <v>2954</v>
      </c>
      <c r="E335" s="33">
        <f>K560*$C$331</f>
        <v>54.066314764800012</v>
      </c>
      <c r="F335" t="s">
        <v>10</v>
      </c>
      <c r="G335" s="32" t="str">
        <f>$B$331&amp;" * "&amp;J298</f>
        <v>CC_efficiency * bottle_PET_INC_AIR_mass_mechanical</v>
      </c>
      <c r="H335" s="221" t="str">
        <f>B335</f>
        <v>Bottle</v>
      </c>
      <c r="I335" s="6" t="str">
        <f>C335</f>
        <v>PET</v>
      </c>
      <c r="J335" t="s">
        <v>492</v>
      </c>
      <c r="K335" s="33">
        <f>K298-E335</f>
        <v>28.5599078037</v>
      </c>
      <c r="L335" t="s">
        <v>10</v>
      </c>
      <c r="M335" t="str">
        <f>J298&amp;" - "&amp;D335</f>
        <v>bottle_PET_INC_AIR_mass_mechanical - bottle_PET_AIR_CC_mass_mechanical</v>
      </c>
      <c r="N335" s="12" t="s">
        <v>1005</v>
      </c>
    </row>
    <row r="336" spans="1:41" ht="15" customHeight="1" x14ac:dyDescent="0.2">
      <c r="A336" s="12"/>
      <c r="B336" s="221"/>
      <c r="C336" s="6" t="str">
        <f t="shared" ref="C336:C354" si="57">C299</f>
        <v>PE</v>
      </c>
      <c r="D336" t="s">
        <v>2953</v>
      </c>
      <c r="E336" s="33">
        <f t="shared" ref="E336:E354" si="58">K561*$C$331</f>
        <v>11.407921459199997</v>
      </c>
      <c r="F336" t="str">
        <f>F335</f>
        <v>kg ww</v>
      </c>
      <c r="G336" s="32" t="str">
        <f t="shared" ref="G336:G354" si="59">$B$331&amp;" * "&amp;J299</f>
        <v>CC_efficiency * bottle_PE_INC_AIR_mass_mechanical</v>
      </c>
      <c r="H336" s="221"/>
      <c r="I336" s="6" t="str">
        <f t="shared" ref="I336:I354" si="60">C336</f>
        <v>PE</v>
      </c>
      <c r="J336" t="s">
        <v>493</v>
      </c>
      <c r="K336" s="33">
        <f t="shared" ref="K336:K354" si="61">K299-E336</f>
        <v>6.0261030647999974</v>
      </c>
      <c r="L336" t="str">
        <f>L335</f>
        <v>kg ww</v>
      </c>
      <c r="M336" t="str">
        <f t="shared" ref="M336:M354" si="62">J299&amp;" - "&amp;D336</f>
        <v>bottle_PE_INC_AIR_mass_mechanical - bottle_PE_AIR_CC_mass_mechanical</v>
      </c>
      <c r="N336" s="12" t="s">
        <v>1005</v>
      </c>
    </row>
    <row r="337" spans="1:14" ht="15" customHeight="1" x14ac:dyDescent="0.2">
      <c r="A337" s="12"/>
      <c r="B337" s="221"/>
      <c r="C337" s="6" t="str">
        <f t="shared" si="57"/>
        <v>PP</v>
      </c>
      <c r="D337" t="s">
        <v>2955</v>
      </c>
      <c r="E337" s="33">
        <f t="shared" si="58"/>
        <v>0</v>
      </c>
      <c r="F337" t="str">
        <f t="shared" ref="F337:F354" si="63">F336</f>
        <v>kg ww</v>
      </c>
      <c r="G337" s="32" t="str">
        <f t="shared" si="59"/>
        <v>CC_efficiency * bottle_PP_INC_AIR_mass_mechanical</v>
      </c>
      <c r="H337" s="221"/>
      <c r="I337" s="6" t="str">
        <f t="shared" si="60"/>
        <v>PP</v>
      </c>
      <c r="J337" t="s">
        <v>494</v>
      </c>
      <c r="K337" s="33">
        <f t="shared" si="61"/>
        <v>0</v>
      </c>
      <c r="L337" t="str">
        <f t="shared" ref="L337:L354" si="64">L336</f>
        <v>kg ww</v>
      </c>
      <c r="M337" t="str">
        <f t="shared" si="62"/>
        <v>bottle_PP_INC_AIR_mass_mechanical - bottle_PP_AIR_CC_mass_mechanical</v>
      </c>
      <c r="N337" s="12" t="s">
        <v>1005</v>
      </c>
    </row>
    <row r="338" spans="1:14" ht="15" customHeight="1" x14ac:dyDescent="0.2">
      <c r="A338" s="12"/>
      <c r="B338" s="221"/>
      <c r="C338" s="6" t="str">
        <f t="shared" si="57"/>
        <v>PS</v>
      </c>
      <c r="D338" t="s">
        <v>2956</v>
      </c>
      <c r="E338" s="33">
        <f t="shared" si="58"/>
        <v>0</v>
      </c>
      <c r="F338" t="str">
        <f t="shared" si="63"/>
        <v>kg ww</v>
      </c>
      <c r="G338" s="32" t="str">
        <f t="shared" si="59"/>
        <v>CC_efficiency * bottle_PS_INC_AIR_mass_mechanical</v>
      </c>
      <c r="H338" s="221"/>
      <c r="I338" s="6" t="str">
        <f t="shared" si="60"/>
        <v>PS</v>
      </c>
      <c r="J338" t="s">
        <v>495</v>
      </c>
      <c r="K338" s="33">
        <f t="shared" si="61"/>
        <v>0</v>
      </c>
      <c r="L338" t="str">
        <f t="shared" si="64"/>
        <v>kg ww</v>
      </c>
      <c r="M338" t="str">
        <f t="shared" si="62"/>
        <v>bottle_PS_INC_AIR_mass_mechanical - bottle_PS_AIR_CC_mass_mechanical</v>
      </c>
      <c r="N338" s="12" t="s">
        <v>1005</v>
      </c>
    </row>
    <row r="339" spans="1:14" ht="15" customHeight="1" x14ac:dyDescent="0.2">
      <c r="A339" s="12"/>
      <c r="B339" s="221"/>
      <c r="C339" s="6" t="str">
        <f t="shared" si="57"/>
        <v>Other</v>
      </c>
      <c r="D339" t="s">
        <v>2957</v>
      </c>
      <c r="E339" s="33">
        <f t="shared" si="58"/>
        <v>0</v>
      </c>
      <c r="F339" t="str">
        <f t="shared" si="63"/>
        <v>kg ww</v>
      </c>
      <c r="G339" s="32" t="str">
        <f t="shared" si="59"/>
        <v>CC_efficiency * bottle_Oth_INC_AIR_mass_mechanical</v>
      </c>
      <c r="H339" s="221"/>
      <c r="I339" s="6" t="str">
        <f t="shared" si="60"/>
        <v>Other</v>
      </c>
      <c r="J339" t="s">
        <v>496</v>
      </c>
      <c r="K339" s="33">
        <f t="shared" si="61"/>
        <v>0</v>
      </c>
      <c r="L339" t="str">
        <f t="shared" si="64"/>
        <v>kg ww</v>
      </c>
      <c r="M339" t="str">
        <f t="shared" si="62"/>
        <v>bottle_Oth_INC_AIR_mass_mechanical - bottle_Oth_AIR_CC_mass_mechanical</v>
      </c>
      <c r="N339" s="12" t="s">
        <v>1005</v>
      </c>
    </row>
    <row r="340" spans="1:14" ht="15" customHeight="1" x14ac:dyDescent="0.2">
      <c r="A340" s="12"/>
      <c r="B340" s="221" t="s">
        <v>15</v>
      </c>
      <c r="C340" s="6" t="str">
        <f t="shared" si="57"/>
        <v>PET</v>
      </c>
      <c r="D340" t="s">
        <v>2958</v>
      </c>
      <c r="E340" s="33">
        <f t="shared" si="58"/>
        <v>10.527303758400004</v>
      </c>
      <c r="F340" t="str">
        <f t="shared" si="63"/>
        <v>kg ww</v>
      </c>
      <c r="G340" s="32" t="str">
        <f t="shared" si="59"/>
        <v>CC_efficiency * rigid_PET_INC_AIR_mass_mechanical</v>
      </c>
      <c r="H340" s="221" t="s">
        <v>15</v>
      </c>
      <c r="I340" s="6" t="str">
        <f t="shared" si="60"/>
        <v>PET</v>
      </c>
      <c r="J340" t="s">
        <v>497</v>
      </c>
      <c r="K340" s="33">
        <f t="shared" si="61"/>
        <v>4.3486055599999993</v>
      </c>
      <c r="L340" t="str">
        <f t="shared" si="64"/>
        <v>kg ww</v>
      </c>
      <c r="M340" t="str">
        <f t="shared" si="62"/>
        <v>rigid_PET_INC_AIR_mass_mechanical - rigid_PET_AIR_CC_mass_mechanical</v>
      </c>
      <c r="N340" s="12" t="s">
        <v>1006</v>
      </c>
    </row>
    <row r="341" spans="1:14" ht="15" customHeight="1" x14ac:dyDescent="0.2">
      <c r="A341" s="12"/>
      <c r="B341" s="221"/>
      <c r="C341" s="6" t="str">
        <f t="shared" si="57"/>
        <v>PE</v>
      </c>
      <c r="D341" t="s">
        <v>2959</v>
      </c>
      <c r="E341" s="33">
        <f t="shared" si="58"/>
        <v>6.790289615999999</v>
      </c>
      <c r="F341" t="str">
        <f t="shared" si="63"/>
        <v>kg ww</v>
      </c>
      <c r="G341" s="32" t="str">
        <f t="shared" si="59"/>
        <v>CC_efficiency * rigid_PE_INC_AIR_mass_mechanical</v>
      </c>
      <c r="H341" s="221"/>
      <c r="I341" s="6" t="str">
        <f t="shared" si="60"/>
        <v>PE</v>
      </c>
      <c r="J341" t="s">
        <v>498</v>
      </c>
      <c r="K341" s="33">
        <f t="shared" si="61"/>
        <v>2.8049243999999991</v>
      </c>
      <c r="L341" t="str">
        <f t="shared" si="64"/>
        <v>kg ww</v>
      </c>
      <c r="M341" t="str">
        <f t="shared" si="62"/>
        <v>rigid_PE_INC_AIR_mass_mechanical - rigid_PE_AIR_CC_mass_mechanical</v>
      </c>
      <c r="N341" s="12" t="s">
        <v>1005</v>
      </c>
    </row>
    <row r="342" spans="1:14" ht="15" customHeight="1" x14ac:dyDescent="0.2">
      <c r="A342" s="12"/>
      <c r="B342" s="221"/>
      <c r="C342" s="6" t="str">
        <f t="shared" si="57"/>
        <v>PP</v>
      </c>
      <c r="D342" t="s">
        <v>2960</v>
      </c>
      <c r="E342" s="33">
        <f t="shared" si="58"/>
        <v>22.825457424000003</v>
      </c>
      <c r="F342" t="str">
        <f t="shared" si="63"/>
        <v>kg ww</v>
      </c>
      <c r="G342" s="32" t="str">
        <f t="shared" si="59"/>
        <v>CC_efficiency * rigid_PP_INC_AIR_mass_mechanical</v>
      </c>
      <c r="H342" s="221"/>
      <c r="I342" s="6" t="str">
        <f t="shared" si="60"/>
        <v>PP</v>
      </c>
      <c r="J342" t="s">
        <v>499</v>
      </c>
      <c r="K342" s="33">
        <f t="shared" si="61"/>
        <v>9.4287116000000033</v>
      </c>
      <c r="L342" t="str">
        <f t="shared" si="64"/>
        <v>kg ww</v>
      </c>
      <c r="M342" t="str">
        <f t="shared" si="62"/>
        <v>rigid_PP_INC_AIR_mass_mechanical - rigid_PP_AIR_CC_mass_mechanical</v>
      </c>
      <c r="N342" s="12" t="s">
        <v>1005</v>
      </c>
    </row>
    <row r="343" spans="1:14" ht="15" customHeight="1" x14ac:dyDescent="0.2">
      <c r="A343" s="12"/>
      <c r="B343" s="221"/>
      <c r="C343" s="6" t="str">
        <f t="shared" si="57"/>
        <v>PS</v>
      </c>
      <c r="D343" t="s">
        <v>2961</v>
      </c>
      <c r="E343" s="33">
        <f t="shared" si="58"/>
        <v>3.8834666434080005</v>
      </c>
      <c r="F343" t="str">
        <f t="shared" si="63"/>
        <v>kg ww</v>
      </c>
      <c r="G343" s="32" t="str">
        <f t="shared" si="59"/>
        <v>CC_efficiency * rigid_PS_INC_AIR_mass_mechanical</v>
      </c>
      <c r="H343" s="221"/>
      <c r="I343" s="6" t="str">
        <f t="shared" si="60"/>
        <v>PS</v>
      </c>
      <c r="J343" t="s">
        <v>500</v>
      </c>
      <c r="K343" s="33">
        <f t="shared" si="61"/>
        <v>1.6041775772000002</v>
      </c>
      <c r="L343" t="str">
        <f t="shared" si="64"/>
        <v>kg ww</v>
      </c>
      <c r="M343" t="str">
        <f t="shared" si="62"/>
        <v>rigid_PS_INC_AIR_mass_mechanical - rigid_PS_AIR_CC_mass_mechanical</v>
      </c>
      <c r="N343" s="12" t="s">
        <v>1005</v>
      </c>
    </row>
    <row r="344" spans="1:14" ht="15" customHeight="1" x14ac:dyDescent="0.2">
      <c r="A344" s="12"/>
      <c r="B344" s="221"/>
      <c r="C344" s="6" t="str">
        <f t="shared" si="57"/>
        <v>Other</v>
      </c>
      <c r="D344" t="s">
        <v>2962</v>
      </c>
      <c r="E344" s="33">
        <f t="shared" si="58"/>
        <v>19.417333217039996</v>
      </c>
      <c r="F344" t="str">
        <f t="shared" si="63"/>
        <v>kg ww</v>
      </c>
      <c r="G344" s="32" t="str">
        <f t="shared" si="59"/>
        <v>CC_efficiency * rigid_Oth_INC_AIR_mass_mechanical</v>
      </c>
      <c r="H344" s="221"/>
      <c r="I344" s="6" t="str">
        <f t="shared" si="60"/>
        <v>Other</v>
      </c>
      <c r="J344" t="s">
        <v>501</v>
      </c>
      <c r="K344" s="33">
        <f t="shared" si="61"/>
        <v>8.020887885999997</v>
      </c>
      <c r="L344" t="str">
        <f t="shared" si="64"/>
        <v>kg ww</v>
      </c>
      <c r="M344" t="str">
        <f t="shared" si="62"/>
        <v>rigid_Oth_INC_AIR_mass_mechanical - rigid_Oth_AIR_CC_mass_mechanical</v>
      </c>
      <c r="N344" s="12" t="s">
        <v>1005</v>
      </c>
    </row>
    <row r="345" spans="1:14" ht="15" customHeight="1" x14ac:dyDescent="0.2">
      <c r="A345" s="12"/>
      <c r="B345" s="221" t="s">
        <v>42</v>
      </c>
      <c r="C345" s="6" t="str">
        <f t="shared" si="57"/>
        <v>PET</v>
      </c>
      <c r="D345" t="s">
        <v>2963</v>
      </c>
      <c r="E345" s="33">
        <f t="shared" si="58"/>
        <v>0</v>
      </c>
      <c r="F345" t="str">
        <f t="shared" si="63"/>
        <v>kg ww</v>
      </c>
      <c r="G345" s="32" t="str">
        <f t="shared" si="59"/>
        <v>CC_efficiency * soft_PET_INC_AIR_mass_mechanical</v>
      </c>
      <c r="H345" s="221" t="s">
        <v>42</v>
      </c>
      <c r="I345" s="6" t="str">
        <f t="shared" si="60"/>
        <v>PET</v>
      </c>
      <c r="J345" t="s">
        <v>502</v>
      </c>
      <c r="K345" s="33">
        <f t="shared" si="61"/>
        <v>0</v>
      </c>
      <c r="L345" t="str">
        <f t="shared" si="64"/>
        <v>kg ww</v>
      </c>
      <c r="M345" t="str">
        <f t="shared" si="62"/>
        <v>soft_PET_INC_AIR_mass_mechanical - soft_PET_AIR_CC_mass_mechanical</v>
      </c>
      <c r="N345" s="12" t="s">
        <v>1005</v>
      </c>
    </row>
    <row r="346" spans="1:14" ht="15" customHeight="1" x14ac:dyDescent="0.2">
      <c r="A346" s="12"/>
      <c r="B346" s="221"/>
      <c r="C346" s="6" t="str">
        <f t="shared" si="57"/>
        <v>PE</v>
      </c>
      <c r="D346" t="s">
        <v>2964</v>
      </c>
      <c r="E346" s="33">
        <f t="shared" si="58"/>
        <v>61.841294726400008</v>
      </c>
      <c r="F346" t="str">
        <f t="shared" si="63"/>
        <v>kg ww</v>
      </c>
      <c r="G346" s="32" t="str">
        <f t="shared" si="59"/>
        <v>CC_efficiency * soft_PE_INC_AIR_mass_mechanical</v>
      </c>
      <c r="H346" s="221"/>
      <c r="I346" s="6" t="str">
        <f t="shared" si="60"/>
        <v>PE</v>
      </c>
      <c r="J346" t="s">
        <v>503</v>
      </c>
      <c r="K346" s="33">
        <f t="shared" si="61"/>
        <v>32.493616809600013</v>
      </c>
      <c r="L346" t="str">
        <f t="shared" si="64"/>
        <v>kg ww</v>
      </c>
      <c r="M346" t="str">
        <f t="shared" si="62"/>
        <v>soft_PE_INC_AIR_mass_mechanical - soft_PE_AIR_CC_mass_mechanical</v>
      </c>
      <c r="N346" s="12" t="s">
        <v>1005</v>
      </c>
    </row>
    <row r="347" spans="1:14" ht="15" customHeight="1" x14ac:dyDescent="0.2">
      <c r="A347" s="12"/>
      <c r="B347" s="221"/>
      <c r="C347" s="6" t="str">
        <f t="shared" si="57"/>
        <v>PP</v>
      </c>
      <c r="D347" t="s">
        <v>2965</v>
      </c>
      <c r="E347" s="33">
        <f t="shared" si="58"/>
        <v>0</v>
      </c>
      <c r="F347" t="str">
        <f t="shared" si="63"/>
        <v>kg ww</v>
      </c>
      <c r="G347" s="32" t="str">
        <f t="shared" si="59"/>
        <v>CC_efficiency * soft_PP_INC_AIR_mass_mechanical</v>
      </c>
      <c r="H347" s="221"/>
      <c r="I347" s="6" t="str">
        <f t="shared" si="60"/>
        <v>PP</v>
      </c>
      <c r="J347" t="s">
        <v>504</v>
      </c>
      <c r="K347" s="33">
        <f t="shared" si="61"/>
        <v>0</v>
      </c>
      <c r="L347" t="str">
        <f t="shared" si="64"/>
        <v>kg ww</v>
      </c>
      <c r="M347" t="str">
        <f t="shared" si="62"/>
        <v>soft_PP_INC_AIR_mass_mechanical - soft_PP_AIR_CC_mass_mechanical</v>
      </c>
      <c r="N347" s="12" t="s">
        <v>1005</v>
      </c>
    </row>
    <row r="348" spans="1:14" ht="15" customHeight="1" x14ac:dyDescent="0.2">
      <c r="A348" s="12"/>
      <c r="B348" s="221"/>
      <c r="C348" s="6" t="str">
        <f t="shared" si="57"/>
        <v>PS</v>
      </c>
      <c r="D348" t="s">
        <v>2966</v>
      </c>
      <c r="E348" s="33">
        <f t="shared" si="58"/>
        <v>0</v>
      </c>
      <c r="F348" t="str">
        <f t="shared" si="63"/>
        <v>kg ww</v>
      </c>
      <c r="G348" s="32" t="str">
        <f t="shared" si="59"/>
        <v>CC_efficiency * soft_PS_INC_AIR_mass_mechanical</v>
      </c>
      <c r="H348" s="221"/>
      <c r="I348" s="6" t="str">
        <f t="shared" si="60"/>
        <v>PS</v>
      </c>
      <c r="J348" t="s">
        <v>505</v>
      </c>
      <c r="K348" s="33">
        <f t="shared" si="61"/>
        <v>0</v>
      </c>
      <c r="L348" t="str">
        <f t="shared" si="64"/>
        <v>kg ww</v>
      </c>
      <c r="M348" t="str">
        <f t="shared" si="62"/>
        <v>soft_PS_INC_AIR_mass_mechanical - soft_PS_AIR_CC_mass_mechanical</v>
      </c>
      <c r="N348" s="12" t="s">
        <v>1005</v>
      </c>
    </row>
    <row r="349" spans="1:14" ht="15" customHeight="1" x14ac:dyDescent="0.2">
      <c r="A349" s="12"/>
      <c r="B349" s="221"/>
      <c r="C349" s="6" t="str">
        <f t="shared" si="57"/>
        <v>Other</v>
      </c>
      <c r="D349" t="s">
        <v>2967</v>
      </c>
      <c r="E349" s="33">
        <f t="shared" si="58"/>
        <v>35.367947294803216</v>
      </c>
      <c r="F349" t="str">
        <f t="shared" si="63"/>
        <v>kg ww</v>
      </c>
      <c r="G349" s="32" t="str">
        <f t="shared" si="59"/>
        <v>CC_efficiency * soft_Oth_INC_AIR_mass_mechanical</v>
      </c>
      <c r="H349" s="221"/>
      <c r="I349" s="6" t="str">
        <f t="shared" si="60"/>
        <v>Other</v>
      </c>
      <c r="J349" t="s">
        <v>506</v>
      </c>
      <c r="K349" s="33">
        <f t="shared" si="61"/>
        <v>18.583578041564806</v>
      </c>
      <c r="L349" t="str">
        <f t="shared" si="64"/>
        <v>kg ww</v>
      </c>
      <c r="M349" t="str">
        <f t="shared" si="62"/>
        <v>soft_Oth_INC_AIR_mass_mechanical - soft_Oth_AIR_CC_mass_mechanical</v>
      </c>
      <c r="N349" s="12" t="s">
        <v>1006</v>
      </c>
    </row>
    <row r="350" spans="1:14" ht="15" customHeight="1" x14ac:dyDescent="0.2">
      <c r="A350" s="12"/>
      <c r="B350" s="221" t="s">
        <v>19</v>
      </c>
      <c r="C350" s="6" t="str">
        <f t="shared" si="57"/>
        <v>PET</v>
      </c>
      <c r="D350" t="s">
        <v>2968</v>
      </c>
      <c r="E350" s="33">
        <f t="shared" si="58"/>
        <v>0</v>
      </c>
      <c r="F350" t="str">
        <f t="shared" si="63"/>
        <v>kg ww</v>
      </c>
      <c r="G350" s="32" t="str">
        <f t="shared" si="59"/>
        <v>CC_efficiency * other_PET_INC_AIR_mass_mechanical</v>
      </c>
      <c r="H350" s="221" t="s">
        <v>19</v>
      </c>
      <c r="I350" s="6" t="str">
        <f t="shared" si="60"/>
        <v>PET</v>
      </c>
      <c r="J350" t="s">
        <v>507</v>
      </c>
      <c r="K350" s="33">
        <f t="shared" si="61"/>
        <v>0</v>
      </c>
      <c r="L350" t="str">
        <f t="shared" si="64"/>
        <v>kg ww</v>
      </c>
      <c r="M350" t="str">
        <f t="shared" si="62"/>
        <v>other_PET_INC_AIR_mass_mechanical - other_PET_AIR_CC_mass_mechanical</v>
      </c>
      <c r="N350" s="12" t="s">
        <v>1005</v>
      </c>
    </row>
    <row r="351" spans="1:14" ht="15" customHeight="1" x14ac:dyDescent="0.2">
      <c r="A351" s="12"/>
      <c r="B351" s="221"/>
      <c r="C351" s="6" t="str">
        <f t="shared" si="57"/>
        <v>PE</v>
      </c>
      <c r="D351" t="s">
        <v>2969</v>
      </c>
      <c r="E351" s="33">
        <f t="shared" si="58"/>
        <v>0</v>
      </c>
      <c r="F351" t="str">
        <f t="shared" si="63"/>
        <v>kg ww</v>
      </c>
      <c r="G351" s="32" t="str">
        <f t="shared" si="59"/>
        <v>CC_efficiency * other_PE_INC_AIR_mass_mechanical</v>
      </c>
      <c r="H351" s="221"/>
      <c r="I351" s="6" t="str">
        <f t="shared" si="60"/>
        <v>PE</v>
      </c>
      <c r="J351" t="s">
        <v>508</v>
      </c>
      <c r="K351" s="33">
        <f t="shared" si="61"/>
        <v>0</v>
      </c>
      <c r="L351" t="str">
        <f t="shared" si="64"/>
        <v>kg ww</v>
      </c>
      <c r="M351" t="str">
        <f t="shared" si="62"/>
        <v>other_PE_INC_AIR_mass_mechanical - other_PE_AIR_CC_mass_mechanical</v>
      </c>
      <c r="N351" s="12" t="s">
        <v>1005</v>
      </c>
    </row>
    <row r="352" spans="1:14" ht="15" customHeight="1" x14ac:dyDescent="0.2">
      <c r="A352" s="12"/>
      <c r="B352" s="221"/>
      <c r="C352" s="6" t="str">
        <f t="shared" si="57"/>
        <v>PP</v>
      </c>
      <c r="D352" t="s">
        <v>2970</v>
      </c>
      <c r="E352" s="33">
        <f t="shared" si="58"/>
        <v>0</v>
      </c>
      <c r="F352" t="str">
        <f t="shared" si="63"/>
        <v>kg ww</v>
      </c>
      <c r="G352" s="32" t="str">
        <f t="shared" si="59"/>
        <v>CC_efficiency * other_PP_INC_AIR_mass_mechanical</v>
      </c>
      <c r="H352" s="221"/>
      <c r="I352" s="6" t="str">
        <f t="shared" si="60"/>
        <v>PP</v>
      </c>
      <c r="J352" t="s">
        <v>509</v>
      </c>
      <c r="K352" s="33">
        <f t="shared" si="61"/>
        <v>0</v>
      </c>
      <c r="L352" t="str">
        <f t="shared" si="64"/>
        <v>kg ww</v>
      </c>
      <c r="M352" t="str">
        <f t="shared" si="62"/>
        <v>other_PP_INC_AIR_mass_mechanical - other_PP_AIR_CC_mass_mechanical</v>
      </c>
      <c r="N352" s="12" t="s">
        <v>1005</v>
      </c>
    </row>
    <row r="353" spans="1:14" ht="15" customHeight="1" x14ac:dyDescent="0.2">
      <c r="A353" s="12"/>
      <c r="B353" s="221"/>
      <c r="C353" s="6" t="str">
        <f t="shared" si="57"/>
        <v>PS</v>
      </c>
      <c r="D353" t="s">
        <v>2971</v>
      </c>
      <c r="E353" s="33">
        <f t="shared" si="58"/>
        <v>0</v>
      </c>
      <c r="F353" t="str">
        <f t="shared" si="63"/>
        <v>kg ww</v>
      </c>
      <c r="G353" s="32" t="str">
        <f t="shared" si="59"/>
        <v>CC_efficiency * other_PS_INC_AIR_mass_mechanical</v>
      </c>
      <c r="H353" s="221"/>
      <c r="I353" s="6" t="str">
        <f t="shared" si="60"/>
        <v>PS</v>
      </c>
      <c r="J353" t="s">
        <v>510</v>
      </c>
      <c r="K353" s="33">
        <f t="shared" si="61"/>
        <v>0</v>
      </c>
      <c r="L353" t="str">
        <f t="shared" si="64"/>
        <v>kg ww</v>
      </c>
      <c r="M353" t="str">
        <f t="shared" si="62"/>
        <v>other_PS_INC_AIR_mass_mechanical - other_PS_AIR_CC_mass_mechanical</v>
      </c>
      <c r="N353" s="12" t="s">
        <v>1005</v>
      </c>
    </row>
    <row r="354" spans="1:14" ht="15" customHeight="1" x14ac:dyDescent="0.2">
      <c r="A354" s="12"/>
      <c r="B354" s="231"/>
      <c r="C354" s="60" t="str">
        <f t="shared" si="57"/>
        <v>Other</v>
      </c>
      <c r="D354" s="44" t="s">
        <v>2972</v>
      </c>
      <c r="E354" s="62">
        <f t="shared" si="58"/>
        <v>59.028659999999952</v>
      </c>
      <c r="F354" s="44" t="str">
        <f t="shared" si="63"/>
        <v>kg ww</v>
      </c>
      <c r="G354" s="32" t="str">
        <f t="shared" si="59"/>
        <v>CC_efficiency * other_Oth_INC_AIR_mass_mechanical</v>
      </c>
      <c r="H354" s="221"/>
      <c r="I354" s="6" t="str">
        <f t="shared" si="60"/>
        <v>Other</v>
      </c>
      <c r="J354" t="s">
        <v>511</v>
      </c>
      <c r="K354" s="33">
        <f t="shared" si="61"/>
        <v>35.86183999999998</v>
      </c>
      <c r="L354" t="str">
        <f t="shared" si="64"/>
        <v>kg ww</v>
      </c>
      <c r="M354" t="str">
        <f t="shared" si="62"/>
        <v>other_Oth_INC_AIR_mass_mechanical - other_Oth_AIR_CC_mass_mechanical</v>
      </c>
      <c r="N354" s="12" t="s">
        <v>1005</v>
      </c>
    </row>
    <row r="355" spans="1:14" ht="25" customHeight="1" x14ac:dyDescent="0.2">
      <c r="A355" s="12"/>
      <c r="B355" s="214" t="s">
        <v>167</v>
      </c>
      <c r="C355" s="214"/>
      <c r="D355" s="214"/>
      <c r="E355" s="214"/>
      <c r="F355" s="214"/>
      <c r="G355" s="214"/>
      <c r="H355" s="214"/>
      <c r="I355" s="214"/>
      <c r="J355" s="214"/>
      <c r="K355" s="214"/>
      <c r="L355" s="214"/>
      <c r="M355" s="214"/>
      <c r="N355" s="12"/>
    </row>
    <row r="356" spans="1:14" ht="15" customHeight="1" x14ac:dyDescent="0.2">
      <c r="A356" s="12"/>
      <c r="B356" s="2" t="str">
        <f>B319</f>
        <v>Parameter</v>
      </c>
      <c r="C356" s="2" t="str">
        <f>C319</f>
        <v>Value</v>
      </c>
      <c r="D356" s="2" t="str">
        <f>D319</f>
        <v>Unit</v>
      </c>
      <c r="E356" s="2" t="str">
        <f>E319</f>
        <v>Description</v>
      </c>
      <c r="F356" s="2"/>
      <c r="G356" s="1"/>
      <c r="H356" s="2" t="str">
        <f>B356</f>
        <v>Parameter</v>
      </c>
      <c r="I356" s="2" t="str">
        <f t="shared" ref="I356:K356" si="65">C356</f>
        <v>Value</v>
      </c>
      <c r="J356" s="2" t="str">
        <f t="shared" si="65"/>
        <v>Unit</v>
      </c>
      <c r="K356" s="2" t="str">
        <f t="shared" si="65"/>
        <v>Description</v>
      </c>
      <c r="L356" s="2"/>
      <c r="M356" s="2"/>
      <c r="N356" s="12"/>
    </row>
    <row r="357" spans="1:14" ht="15" customHeight="1" x14ac:dyDescent="0.2">
      <c r="A357" s="12"/>
      <c r="B357" t="s">
        <v>2973</v>
      </c>
      <c r="C357" s="33">
        <f>SUM(E335:E339)</f>
        <v>65.474236224000009</v>
      </c>
      <c r="D357" t="s">
        <v>126</v>
      </c>
      <c r="E357" t="s">
        <v>2978</v>
      </c>
      <c r="G357" s="32"/>
      <c r="H357" t="s">
        <v>512</v>
      </c>
      <c r="I357" s="33">
        <f>SUM(K335:K339)</f>
        <v>34.586010868499997</v>
      </c>
      <c r="J357" t="s">
        <v>10</v>
      </c>
      <c r="K357" t="s">
        <v>1561</v>
      </c>
      <c r="N357" s="12"/>
    </row>
    <row r="358" spans="1:14" ht="15" customHeight="1" x14ac:dyDescent="0.2">
      <c r="A358" s="12"/>
      <c r="B358" t="s">
        <v>2974</v>
      </c>
      <c r="C358" s="33">
        <f>SUM(E340:E344)</f>
        <v>63.443850658848007</v>
      </c>
      <c r="D358" t="str">
        <f>D357</f>
        <v xml:space="preserve">kg </v>
      </c>
      <c r="E358" t="s">
        <v>2979</v>
      </c>
      <c r="G358" s="32"/>
      <c r="H358" t="s">
        <v>513</v>
      </c>
      <c r="I358">
        <f>SUM(K340:K344)</f>
        <v>26.207307023199998</v>
      </c>
      <c r="J358" t="str">
        <f>J357</f>
        <v>kg ww</v>
      </c>
      <c r="K358" t="s">
        <v>1562</v>
      </c>
      <c r="N358" s="12"/>
    </row>
    <row r="359" spans="1:14" ht="15" customHeight="1" x14ac:dyDescent="0.2">
      <c r="A359" s="12"/>
      <c r="B359" t="s">
        <v>2975</v>
      </c>
      <c r="C359">
        <f>SUM(E345:E349)</f>
        <v>97.209242021203224</v>
      </c>
      <c r="D359" t="str">
        <f t="shared" ref="D359" si="66">D358</f>
        <v xml:space="preserve">kg </v>
      </c>
      <c r="E359" t="s">
        <v>2980</v>
      </c>
      <c r="G359" s="32"/>
      <c r="H359" t="s">
        <v>514</v>
      </c>
      <c r="I359">
        <f>SUM(K345:K349)</f>
        <v>51.077194851164819</v>
      </c>
      <c r="J359" t="str">
        <f t="shared" ref="J359" si="67">J358</f>
        <v>kg ww</v>
      </c>
      <c r="K359" t="s">
        <v>1563</v>
      </c>
      <c r="N359" s="12"/>
    </row>
    <row r="360" spans="1:14" ht="15" customHeight="1" thickBot="1" x14ac:dyDescent="0.25">
      <c r="A360" s="12"/>
      <c r="B360" s="8" t="s">
        <v>2976</v>
      </c>
      <c r="C360" s="8">
        <f>SUM(E350:E354)</f>
        <v>59.028659999999952</v>
      </c>
      <c r="D360" s="8" t="str">
        <f>D359</f>
        <v xml:space="preserve">kg </v>
      </c>
      <c r="E360" s="8" t="s">
        <v>2981</v>
      </c>
      <c r="F360" s="8"/>
      <c r="G360" s="87"/>
      <c r="H360" s="8" t="s">
        <v>515</v>
      </c>
      <c r="I360" s="8">
        <f>SUM(K350:K354)</f>
        <v>35.86183999999998</v>
      </c>
      <c r="J360" s="8" t="s">
        <v>10</v>
      </c>
      <c r="K360" s="8" t="s">
        <v>1564</v>
      </c>
      <c r="L360" s="8"/>
      <c r="M360" s="8"/>
      <c r="N360" s="12"/>
    </row>
    <row r="361" spans="1:14" ht="15" customHeight="1" thickTop="1" x14ac:dyDescent="0.2">
      <c r="A361" s="12"/>
      <c r="B361" s="44" t="s">
        <v>2977</v>
      </c>
      <c r="C361" s="62">
        <f>SUM(C357:C360)</f>
        <v>285.15598890405118</v>
      </c>
      <c r="D361" s="44" t="str">
        <f>D359</f>
        <v xml:space="preserve">kg </v>
      </c>
      <c r="E361" s="44" t="s">
        <v>2982</v>
      </c>
      <c r="F361" s="44"/>
      <c r="G361" s="61"/>
      <c r="H361" s="44" t="s">
        <v>516</v>
      </c>
      <c r="I361" s="62">
        <f>SUM(I357:I360)</f>
        <v>147.7323527428648</v>
      </c>
      <c r="J361" s="44" t="str">
        <f>J359</f>
        <v>kg ww</v>
      </c>
      <c r="K361" s="44" t="s">
        <v>1565</v>
      </c>
      <c r="L361" s="44"/>
      <c r="M361" s="44"/>
      <c r="N361" s="12"/>
    </row>
    <row r="362" spans="1:14" ht="15" customHeight="1" x14ac:dyDescent="0.2">
      <c r="A362" s="12"/>
      <c r="B362" s="125" t="s">
        <v>2704</v>
      </c>
      <c r="C362" s="125" t="str">
        <f>IF(C361+I361=I324,"true")</f>
        <v>true</v>
      </c>
      <c r="D362" s="127"/>
      <c r="E362" s="125"/>
      <c r="F362" s="125"/>
      <c r="G362" s="125"/>
      <c r="H362" s="125"/>
      <c r="I362" s="125"/>
      <c r="J362" s="125"/>
      <c r="K362" s="125"/>
      <c r="L362" s="125"/>
      <c r="M362" s="125"/>
      <c r="N362" s="12"/>
    </row>
    <row r="363" spans="1:14" ht="15" customHeight="1" x14ac:dyDescent="0.2">
      <c r="A363" s="12"/>
      <c r="B363" s="12"/>
      <c r="C363" s="12"/>
      <c r="D363" s="68"/>
      <c r="E363" s="12"/>
      <c r="F363" s="131"/>
      <c r="G363" s="12"/>
      <c r="H363" s="12"/>
      <c r="I363" s="12"/>
      <c r="J363" s="12"/>
      <c r="K363" s="12"/>
      <c r="L363" s="12"/>
      <c r="M363" s="12"/>
      <c r="N363" s="12"/>
    </row>
    <row r="364" spans="1:14" ht="15" customHeight="1" x14ac:dyDescent="0.2">
      <c r="A364" s="12"/>
      <c r="B364" s="131"/>
      <c r="C364" s="12"/>
      <c r="D364" s="68"/>
      <c r="E364" s="12"/>
      <c r="F364" s="12"/>
      <c r="G364" s="12"/>
      <c r="H364" s="12"/>
      <c r="I364" s="12"/>
      <c r="J364" s="12"/>
      <c r="K364" s="12"/>
      <c r="L364" s="12"/>
      <c r="M364" s="12"/>
      <c r="N364" s="12"/>
    </row>
    <row r="365" spans="1:14" ht="15" customHeight="1" x14ac:dyDescent="0.2">
      <c r="A365" s="69"/>
      <c r="B365" s="69"/>
      <c r="C365" s="69"/>
      <c r="D365" s="122"/>
      <c r="E365" s="69"/>
      <c r="F365" s="69"/>
      <c r="G365" s="69"/>
      <c r="H365" s="69"/>
      <c r="I365" s="69"/>
      <c r="J365" s="69"/>
      <c r="K365" s="69"/>
      <c r="L365" s="69"/>
      <c r="M365" s="69"/>
      <c r="N365" s="69"/>
    </row>
    <row r="366" spans="1:14" ht="15" customHeight="1" x14ac:dyDescent="0.2">
      <c r="A366" s="14"/>
      <c r="B366" s="14"/>
      <c r="C366" s="14"/>
      <c r="D366" s="14"/>
      <c r="E366" s="14"/>
      <c r="F366" s="14"/>
      <c r="G366" s="14"/>
      <c r="H366" s="14"/>
      <c r="I366" s="14"/>
      <c r="J366" s="14"/>
      <c r="K366" s="14"/>
      <c r="L366" s="14"/>
      <c r="M366" s="14"/>
      <c r="N366" s="14"/>
    </row>
    <row r="367" spans="1:14" ht="15" customHeight="1" x14ac:dyDescent="0.2">
      <c r="A367" s="14"/>
      <c r="B367" s="14"/>
      <c r="C367" s="14"/>
      <c r="D367" s="14"/>
      <c r="E367" s="14"/>
      <c r="F367" s="14"/>
      <c r="G367" s="14"/>
      <c r="H367" s="14"/>
      <c r="I367" s="14"/>
      <c r="J367" s="14"/>
      <c r="K367" s="14"/>
      <c r="L367" s="14"/>
      <c r="M367" s="14"/>
      <c r="N367" s="14"/>
    </row>
    <row r="368" spans="1:14" ht="15" customHeight="1" x14ac:dyDescent="0.3">
      <c r="A368" s="49"/>
      <c r="B368" s="216" t="s">
        <v>97</v>
      </c>
      <c r="C368" s="216"/>
      <c r="D368" s="216"/>
      <c r="E368" s="216"/>
      <c r="F368" s="216"/>
      <c r="G368" s="216"/>
      <c r="H368" s="216"/>
      <c r="I368" s="216"/>
      <c r="J368" s="216"/>
      <c r="K368" s="216"/>
      <c r="L368" s="216"/>
      <c r="M368" s="216"/>
      <c r="N368" s="50"/>
    </row>
    <row r="369" spans="1:14" ht="15" customHeight="1" x14ac:dyDescent="0.2">
      <c r="A369" s="14"/>
      <c r="B369" s="14"/>
      <c r="C369" s="14"/>
      <c r="D369" s="14"/>
      <c r="E369" s="14"/>
      <c r="F369" s="14"/>
      <c r="G369" s="14"/>
      <c r="H369" s="14"/>
      <c r="I369" s="14"/>
      <c r="J369" s="14"/>
      <c r="K369" s="14"/>
      <c r="L369" s="14"/>
      <c r="M369" s="14"/>
      <c r="N369" s="14"/>
    </row>
    <row r="370" spans="1:14" ht="25" customHeight="1" x14ac:dyDescent="0.2">
      <c r="A370" s="14"/>
      <c r="B370" s="214" t="s">
        <v>1</v>
      </c>
      <c r="C370" s="214"/>
      <c r="D370" s="214"/>
      <c r="E370" s="214"/>
      <c r="F370" s="214"/>
      <c r="G370" s="214"/>
      <c r="H370" s="214"/>
      <c r="I370" s="214"/>
      <c r="J370" s="214"/>
      <c r="K370" s="214"/>
      <c r="L370" s="214"/>
      <c r="M370" s="214"/>
      <c r="N370" s="14"/>
    </row>
    <row r="371" spans="1:14" ht="15" customHeight="1" x14ac:dyDescent="0.2">
      <c r="A371" s="14"/>
      <c r="B371" s="114" t="s">
        <v>2</v>
      </c>
      <c r="C371" s="114" t="s">
        <v>3</v>
      </c>
      <c r="D371" s="114" t="s">
        <v>4</v>
      </c>
      <c r="E371" s="114" t="s">
        <v>5</v>
      </c>
      <c r="F371" s="114" t="s">
        <v>6</v>
      </c>
      <c r="G371" s="114" t="s">
        <v>7</v>
      </c>
      <c r="H371" s="114" t="s">
        <v>112</v>
      </c>
      <c r="I371" s="106"/>
      <c r="J371" s="106"/>
      <c r="K371" s="106"/>
      <c r="L371" s="106"/>
      <c r="M371" s="106"/>
      <c r="N371" s="14"/>
    </row>
    <row r="372" spans="1:14" ht="15" customHeight="1" x14ac:dyDescent="0.2">
      <c r="A372" s="14"/>
      <c r="B372" s="106" t="str">
        <f>'info, structure, parameters'!A205</f>
        <v>bottle_carbon</v>
      </c>
      <c r="C372" s="106">
        <f>'info, structure, parameters'!B205</f>
        <v>0.68735999999999997</v>
      </c>
      <c r="D372" s="106" t="str">
        <f>'info, structure, parameters'!C205</f>
        <v>kg C</v>
      </c>
      <c r="E372" s="106">
        <f>'info, structure, parameters'!D205</f>
        <v>0.68735999999999997</v>
      </c>
      <c r="F372" s="106">
        <f>'info, structure, parameters'!E205</f>
        <v>0.68735999999999997</v>
      </c>
      <c r="G372" s="106" t="str">
        <f>'info, structure, parameters'!F205</f>
        <v>Amount of fossile carbon contained in 1 kg of plastic bottle waste</v>
      </c>
      <c r="H372" s="106">
        <f>'info, structure, parameters'!G205</f>
        <v>3</v>
      </c>
      <c r="I372" s="106"/>
      <c r="J372" s="106"/>
      <c r="K372" s="106"/>
      <c r="L372" s="106"/>
      <c r="M372" s="106"/>
      <c r="N372" s="14"/>
    </row>
    <row r="373" spans="1:14" ht="15" customHeight="1" x14ac:dyDescent="0.2">
      <c r="A373" s="14"/>
      <c r="B373" s="106" t="str">
        <f>'info, structure, parameters'!A206</f>
        <v>rigid_carbon</v>
      </c>
      <c r="C373" s="106">
        <f>'info, structure, parameters'!B206</f>
        <v>0.76956000000000002</v>
      </c>
      <c r="D373" s="106" t="str">
        <f>'info, structure, parameters'!C206</f>
        <v>kg C</v>
      </c>
      <c r="E373" s="106">
        <f>'info, structure, parameters'!D206</f>
        <v>0.76956000000000002</v>
      </c>
      <c r="F373" s="106">
        <f>'info, structure, parameters'!E206</f>
        <v>0.76956000000000002</v>
      </c>
      <c r="G373" s="106" t="str">
        <f>'info, structure, parameters'!F206</f>
        <v>Amount of fossile carbon contained in 1 kg of rigid plastic waste</v>
      </c>
      <c r="H373" s="106">
        <f>'info, structure, parameters'!G206</f>
        <v>3</v>
      </c>
      <c r="I373" s="106"/>
      <c r="J373" s="106"/>
      <c r="K373" s="106"/>
      <c r="L373" s="106"/>
      <c r="M373" s="106"/>
      <c r="N373" s="14"/>
    </row>
    <row r="374" spans="1:14" ht="15" customHeight="1" x14ac:dyDescent="0.2">
      <c r="A374" s="14"/>
      <c r="B374" s="106" t="str">
        <f>'info, structure, parameters'!A207</f>
        <v>soft_carbon</v>
      </c>
      <c r="C374" s="106">
        <f>'info, structure, parameters'!B207</f>
        <v>0.7008624</v>
      </c>
      <c r="D374" s="106" t="str">
        <f>'info, structure, parameters'!C207</f>
        <v>kg C</v>
      </c>
      <c r="E374" s="106">
        <f>'info, structure, parameters'!D207</f>
        <v>0.7008624</v>
      </c>
      <c r="F374" s="106">
        <f>'info, structure, parameters'!E207</f>
        <v>0.7008624</v>
      </c>
      <c r="G374" s="106" t="str">
        <f>'info, structure, parameters'!F207</f>
        <v>Amount of fossile carbon contained in 1 kg of soft plastic waste</v>
      </c>
      <c r="H374" s="106">
        <f>'info, structure, parameters'!G207</f>
        <v>3</v>
      </c>
      <c r="I374" s="106"/>
      <c r="J374" s="106"/>
      <c r="K374" s="106"/>
      <c r="L374" s="106"/>
      <c r="M374" s="106"/>
      <c r="N374" s="14"/>
    </row>
    <row r="375" spans="1:14" ht="15" customHeight="1" x14ac:dyDescent="0.2">
      <c r="A375" s="14"/>
      <c r="B375" s="106" t="str">
        <f>'info, structure, parameters'!A208</f>
        <v>nonrec_carbon</v>
      </c>
      <c r="C375" s="106">
        <f>'info, structure, parameters'!B208</f>
        <v>0.65587399999999996</v>
      </c>
      <c r="D375" s="106" t="str">
        <f>'info, structure, parameters'!C208</f>
        <v>kg C</v>
      </c>
      <c r="E375" s="106">
        <f>'info, structure, parameters'!D208</f>
        <v>0.65587399999999996</v>
      </c>
      <c r="F375" s="106">
        <f>'info, structure, parameters'!E208</f>
        <v>0.65587399999999996</v>
      </c>
      <c r="G375" s="106" t="str">
        <f>'info, structure, parameters'!F208</f>
        <v>Amount of fossile carbon contained in 1 kg of non recyclable plastic waste</v>
      </c>
      <c r="H375" s="106">
        <f>'info, structure, parameters'!G208</f>
        <v>3</v>
      </c>
      <c r="I375" s="106"/>
      <c r="J375" s="106"/>
      <c r="K375" s="106"/>
      <c r="L375" s="106"/>
      <c r="M375" s="106"/>
      <c r="N375" s="14"/>
    </row>
    <row r="376" spans="1:14" ht="25" customHeight="1" x14ac:dyDescent="0.2">
      <c r="A376" s="14"/>
      <c r="B376" s="214" t="s">
        <v>44</v>
      </c>
      <c r="C376" s="214"/>
      <c r="D376" s="214"/>
      <c r="E376" s="214"/>
      <c r="F376" s="214"/>
      <c r="G376" s="214"/>
      <c r="H376" s="214"/>
      <c r="I376" s="214"/>
      <c r="J376" s="214"/>
      <c r="K376" s="214"/>
      <c r="L376" s="214"/>
      <c r="M376" s="214"/>
      <c r="N376" s="14"/>
    </row>
    <row r="377" spans="1:14" ht="25" customHeight="1" x14ac:dyDescent="0.2">
      <c r="A377" s="14"/>
      <c r="B377" s="214" t="s">
        <v>47</v>
      </c>
      <c r="C377" s="214"/>
      <c r="D377" s="214"/>
      <c r="E377" s="214"/>
      <c r="F377" s="214"/>
      <c r="G377" s="223"/>
      <c r="H377" s="214" t="s">
        <v>48</v>
      </c>
      <c r="I377" s="214"/>
      <c r="J377" s="214"/>
      <c r="K377" s="214"/>
      <c r="L377" s="214"/>
      <c r="M377" s="214"/>
      <c r="N377" s="14"/>
    </row>
    <row r="378" spans="1:14" ht="15" customHeight="1" x14ac:dyDescent="0.2">
      <c r="A378" s="14"/>
      <c r="B378" s="2" t="s">
        <v>21</v>
      </c>
      <c r="C378" s="3" t="s">
        <v>20</v>
      </c>
      <c r="D378" s="2" t="s">
        <v>99</v>
      </c>
      <c r="E378" s="2" t="s">
        <v>3</v>
      </c>
      <c r="F378" s="2" t="s">
        <v>4</v>
      </c>
      <c r="G378" s="4" t="s">
        <v>43</v>
      </c>
      <c r="H378" s="2" t="s">
        <v>21</v>
      </c>
      <c r="I378" s="3" t="s">
        <v>20</v>
      </c>
      <c r="J378" s="2" t="str">
        <f>D378</f>
        <v>Name</v>
      </c>
      <c r="K378" s="2" t="s">
        <v>3</v>
      </c>
      <c r="L378" s="2" t="s">
        <v>4</v>
      </c>
      <c r="M378" s="2" t="s">
        <v>43</v>
      </c>
      <c r="N378" s="14"/>
    </row>
    <row r="379" spans="1:14" ht="15" customHeight="1" x14ac:dyDescent="0.2">
      <c r="A379" s="14"/>
      <c r="B379" s="220" t="s">
        <v>14</v>
      </c>
      <c r="C379" s="6" t="str">
        <f t="shared" ref="C379:C398" si="68">C68</f>
        <v>PET</v>
      </c>
      <c r="D379" t="s">
        <v>517</v>
      </c>
      <c r="E379">
        <f>$C$372*E68</f>
        <v>158.09279999999998</v>
      </c>
      <c r="F379" t="s">
        <v>10</v>
      </c>
      <c r="G379" s="32" t="str">
        <f>$B$372&amp;" * "&amp;D68</f>
        <v>bottle_carbon * bottle_PET_WG_SS_mass_mechanical</v>
      </c>
      <c r="H379" s="220" t="s">
        <v>14</v>
      </c>
      <c r="I379" s="6" t="str">
        <f>C379</f>
        <v>PET</v>
      </c>
      <c r="J379" t="s">
        <v>542</v>
      </c>
      <c r="K379">
        <f>$C$372*K68</f>
        <v>0</v>
      </c>
      <c r="L379" t="s">
        <v>10</v>
      </c>
      <c r="M379" t="s">
        <v>169</v>
      </c>
      <c r="N379" s="14"/>
    </row>
    <row r="380" spans="1:14" ht="15" customHeight="1" x14ac:dyDescent="0.2">
      <c r="A380" s="14"/>
      <c r="B380" s="220"/>
      <c r="C380" s="6" t="str">
        <f t="shared" si="68"/>
        <v>PE</v>
      </c>
      <c r="D380" t="s">
        <v>518</v>
      </c>
      <c r="E380">
        <f>$C$372*E69</f>
        <v>48.115200000000002</v>
      </c>
      <c r="F380" t="s">
        <v>10</v>
      </c>
      <c r="G380" s="32" t="str">
        <f>$B$372&amp;" * "&amp;D69</f>
        <v>bottle_carbon * bottle_PE_WG_SS_mass_mechanical</v>
      </c>
      <c r="H380" s="220"/>
      <c r="I380" s="6" t="str">
        <f t="shared" ref="I380:I398" si="69">C380</f>
        <v>PE</v>
      </c>
      <c r="J380" t="s">
        <v>543</v>
      </c>
      <c r="K380">
        <f>$C$372*K69</f>
        <v>0</v>
      </c>
      <c r="L380" t="s">
        <v>10</v>
      </c>
      <c r="M380" t="s">
        <v>169</v>
      </c>
      <c r="N380" s="14"/>
    </row>
    <row r="381" spans="1:14" ht="15" customHeight="1" x14ac:dyDescent="0.2">
      <c r="A381" s="14"/>
      <c r="B381" s="220"/>
      <c r="C381" s="6" t="str">
        <f t="shared" si="68"/>
        <v>PP</v>
      </c>
      <c r="D381" t="s">
        <v>519</v>
      </c>
      <c r="E381">
        <f>$C$372*E70</f>
        <v>0</v>
      </c>
      <c r="F381" t="s">
        <v>10</v>
      </c>
      <c r="G381" s="32" t="str">
        <f>$B$372&amp;" * "&amp;D70</f>
        <v>bottle_carbon * bottle_PP_WG_SS_mass_mechanical</v>
      </c>
      <c r="H381" s="220"/>
      <c r="I381" s="6" t="str">
        <f t="shared" si="69"/>
        <v>PP</v>
      </c>
      <c r="J381" t="s">
        <v>544</v>
      </c>
      <c r="K381">
        <f>$C$372*K70</f>
        <v>0</v>
      </c>
      <c r="L381" t="s">
        <v>10</v>
      </c>
      <c r="M381" t="s">
        <v>169</v>
      </c>
      <c r="N381" s="14"/>
    </row>
    <row r="382" spans="1:14" ht="15" customHeight="1" x14ac:dyDescent="0.2">
      <c r="A382" s="14"/>
      <c r="B382" s="220"/>
      <c r="C382" s="6" t="str">
        <f t="shared" si="68"/>
        <v>PS</v>
      </c>
      <c r="D382" t="s">
        <v>520</v>
      </c>
      <c r="E382">
        <f>$C$372*E71</f>
        <v>0</v>
      </c>
      <c r="F382" t="s">
        <v>10</v>
      </c>
      <c r="G382" s="32" t="str">
        <f>$B$372&amp;" * "&amp;D71</f>
        <v>bottle_carbon * bottle_PS_WG_SS_mass_mechanical</v>
      </c>
      <c r="H382" s="220"/>
      <c r="I382" s="6" t="str">
        <f t="shared" si="69"/>
        <v>PS</v>
      </c>
      <c r="J382" t="s">
        <v>545</v>
      </c>
      <c r="K382">
        <f>$C$372*K71</f>
        <v>0</v>
      </c>
      <c r="L382" t="s">
        <v>10</v>
      </c>
      <c r="M382" t="s">
        <v>169</v>
      </c>
      <c r="N382" s="14"/>
    </row>
    <row r="383" spans="1:14" ht="15" customHeight="1" x14ac:dyDescent="0.2">
      <c r="A383" s="14"/>
      <c r="B383" s="220"/>
      <c r="C383" s="6" t="str">
        <f t="shared" si="68"/>
        <v>Other</v>
      </c>
      <c r="D383" t="s">
        <v>521</v>
      </c>
      <c r="E383">
        <f>$C$372*E72</f>
        <v>0</v>
      </c>
      <c r="F383" t="s">
        <v>10</v>
      </c>
      <c r="G383" s="32" t="str">
        <f>$B$372&amp;" * "&amp;D72</f>
        <v>bottle_carbon * bottle_Oth_WG_SS_mass_mechanical</v>
      </c>
      <c r="H383" s="220"/>
      <c r="I383" s="6" t="str">
        <f t="shared" si="69"/>
        <v>Other</v>
      </c>
      <c r="J383" t="s">
        <v>546</v>
      </c>
      <c r="K383">
        <f>$C$372*K72</f>
        <v>0</v>
      </c>
      <c r="L383" t="s">
        <v>10</v>
      </c>
      <c r="M383" t="s">
        <v>169</v>
      </c>
      <c r="N383" s="14"/>
    </row>
    <row r="384" spans="1:14" ht="15" customHeight="1" x14ac:dyDescent="0.2">
      <c r="A384" s="14"/>
      <c r="B384" s="220" t="s">
        <v>15</v>
      </c>
      <c r="C384" s="6" t="str">
        <f t="shared" si="68"/>
        <v>PET</v>
      </c>
      <c r="D384" t="s">
        <v>522</v>
      </c>
      <c r="E384">
        <f>$C$373*E73</f>
        <v>30.782400000000003</v>
      </c>
      <c r="F384" t="s">
        <v>10</v>
      </c>
      <c r="G384" s="32" t="str">
        <f>$B$373&amp;" * "&amp;D73</f>
        <v>rigid_carbon * rigid_PET_WG_SS_mass_mechanical</v>
      </c>
      <c r="H384" s="220" t="s">
        <v>15</v>
      </c>
      <c r="I384" s="6" t="str">
        <f t="shared" si="69"/>
        <v>PET</v>
      </c>
      <c r="J384" t="s">
        <v>547</v>
      </c>
      <c r="K384">
        <f>$C$373*K73</f>
        <v>0</v>
      </c>
      <c r="L384" t="s">
        <v>10</v>
      </c>
      <c r="M384" t="s">
        <v>169</v>
      </c>
      <c r="N384" s="14"/>
    </row>
    <row r="385" spans="1:14" ht="15" customHeight="1" x14ac:dyDescent="0.2">
      <c r="A385" s="14"/>
      <c r="B385" s="220"/>
      <c r="C385" s="6" t="str">
        <f t="shared" si="68"/>
        <v>PE</v>
      </c>
      <c r="D385" t="s">
        <v>523</v>
      </c>
      <c r="E385">
        <f>$C$373*E74</f>
        <v>23.0868</v>
      </c>
      <c r="F385" t="s">
        <v>10</v>
      </c>
      <c r="G385" s="32" t="str">
        <f>$B$373&amp;" * "&amp;D74</f>
        <v>rigid_carbon * rigid_PE_WG_SS_mass_mechanical</v>
      </c>
      <c r="H385" s="220"/>
      <c r="I385" s="6" t="str">
        <f t="shared" si="69"/>
        <v>PE</v>
      </c>
      <c r="J385" t="s">
        <v>548</v>
      </c>
      <c r="K385">
        <f>$C$373*K74</f>
        <v>0</v>
      </c>
      <c r="L385" t="s">
        <v>10</v>
      </c>
      <c r="M385" t="s">
        <v>169</v>
      </c>
      <c r="N385" s="14"/>
    </row>
    <row r="386" spans="1:14" ht="15" customHeight="1" x14ac:dyDescent="0.2">
      <c r="A386" s="14"/>
      <c r="B386" s="220"/>
      <c r="C386" s="6" t="str">
        <f t="shared" si="68"/>
        <v>PP</v>
      </c>
      <c r="D386" t="s">
        <v>524</v>
      </c>
      <c r="E386">
        <f>$C$373*E75</f>
        <v>53.869199999999999</v>
      </c>
      <c r="F386" t="s">
        <v>10</v>
      </c>
      <c r="G386" s="32" t="str">
        <f>$B$373&amp;" * "&amp;D75</f>
        <v>rigid_carbon * rigid_PP_WG_SS_mass_mechanical</v>
      </c>
      <c r="H386" s="220"/>
      <c r="I386" s="6" t="str">
        <f t="shared" si="69"/>
        <v>PP</v>
      </c>
      <c r="J386" t="s">
        <v>549</v>
      </c>
      <c r="K386">
        <f>$C$373*K75</f>
        <v>0</v>
      </c>
      <c r="L386" t="s">
        <v>10</v>
      </c>
      <c r="M386" t="s">
        <v>169</v>
      </c>
      <c r="N386" s="14"/>
    </row>
    <row r="387" spans="1:14" ht="15" customHeight="1" x14ac:dyDescent="0.2">
      <c r="A387" s="14"/>
      <c r="B387" s="220"/>
      <c r="C387" s="6" t="str">
        <f t="shared" si="68"/>
        <v>PS</v>
      </c>
      <c r="D387" t="s">
        <v>525</v>
      </c>
      <c r="E387">
        <f>$C$373*E76</f>
        <v>7.6956000000000007</v>
      </c>
      <c r="F387" t="s">
        <v>10</v>
      </c>
      <c r="G387" s="32" t="str">
        <f>$B$373&amp;" * "&amp;D76</f>
        <v>rigid_carbon * rigid_PS_WG_SS_mass_mechanical</v>
      </c>
      <c r="H387" s="220"/>
      <c r="I387" s="6" t="str">
        <f t="shared" si="69"/>
        <v>PS</v>
      </c>
      <c r="J387" t="s">
        <v>550</v>
      </c>
      <c r="K387">
        <f>$C$373*K76</f>
        <v>0</v>
      </c>
      <c r="L387" t="s">
        <v>10</v>
      </c>
      <c r="M387" t="s">
        <v>169</v>
      </c>
      <c r="N387" s="14"/>
    </row>
    <row r="388" spans="1:14" ht="15" customHeight="1" x14ac:dyDescent="0.2">
      <c r="A388" s="14"/>
      <c r="B388" s="220"/>
      <c r="C388" s="6" t="str">
        <f t="shared" si="68"/>
        <v>Other</v>
      </c>
      <c r="D388" t="s">
        <v>526</v>
      </c>
      <c r="E388">
        <f>$C$373*E77</f>
        <v>38.477999999999987</v>
      </c>
      <c r="F388" t="s">
        <v>10</v>
      </c>
      <c r="G388" s="32" t="str">
        <f>$B$373&amp;" * "&amp;D77</f>
        <v>rigid_carbon * rigid_Oth_WG_SS_mass_mechanical</v>
      </c>
      <c r="H388" s="220"/>
      <c r="I388" s="6" t="str">
        <f t="shared" si="69"/>
        <v>Other</v>
      </c>
      <c r="J388" t="s">
        <v>551</v>
      </c>
      <c r="K388">
        <f>$C$373*K77</f>
        <v>0</v>
      </c>
      <c r="L388" t="s">
        <v>10</v>
      </c>
      <c r="M388" t="s">
        <v>169</v>
      </c>
      <c r="N388" s="14"/>
    </row>
    <row r="389" spans="1:14" ht="15" customHeight="1" x14ac:dyDescent="0.2">
      <c r="A389" s="14"/>
      <c r="B389" s="220" t="s">
        <v>42</v>
      </c>
      <c r="C389" s="6" t="str">
        <f t="shared" si="68"/>
        <v>PET</v>
      </c>
      <c r="D389" t="s">
        <v>527</v>
      </c>
      <c r="E389">
        <f>$C$374*E78</f>
        <v>0</v>
      </c>
      <c r="F389" t="s">
        <v>10</v>
      </c>
      <c r="G389" s="32" t="str">
        <f>$B$374&amp;" * "&amp;D78</f>
        <v>soft_carbon * soft_PET_WG_SS_mass_mechanical</v>
      </c>
      <c r="H389" s="220" t="s">
        <v>42</v>
      </c>
      <c r="I389" s="6" t="str">
        <f t="shared" si="69"/>
        <v>PET</v>
      </c>
      <c r="J389" t="s">
        <v>251</v>
      </c>
      <c r="K389">
        <f>$C$374*K78</f>
        <v>0</v>
      </c>
      <c r="L389" t="s">
        <v>10</v>
      </c>
      <c r="M389" t="s">
        <v>169</v>
      </c>
      <c r="N389" s="14"/>
    </row>
    <row r="390" spans="1:14" ht="15" customHeight="1" x14ac:dyDescent="0.2">
      <c r="A390" s="14"/>
      <c r="B390" s="220"/>
      <c r="C390" s="6" t="str">
        <f t="shared" si="68"/>
        <v>PE</v>
      </c>
      <c r="D390" t="s">
        <v>528</v>
      </c>
      <c r="E390">
        <f>$C$374*E79</f>
        <v>210.25872000000001</v>
      </c>
      <c r="F390" t="s">
        <v>10</v>
      </c>
      <c r="G390" s="32" t="str">
        <f>$B$374&amp;" * "&amp;D79</f>
        <v>soft_carbon * soft_PE_WG_SS_mass_mechanical</v>
      </c>
      <c r="H390" s="220"/>
      <c r="I390" s="6" t="str">
        <f t="shared" si="69"/>
        <v>PE</v>
      </c>
      <c r="J390" t="s">
        <v>552</v>
      </c>
      <c r="K390">
        <f>$C$374*K79</f>
        <v>0</v>
      </c>
      <c r="L390" t="s">
        <v>10</v>
      </c>
      <c r="M390" t="s">
        <v>169</v>
      </c>
      <c r="N390" s="14"/>
    </row>
    <row r="391" spans="1:14" ht="15" customHeight="1" x14ac:dyDescent="0.2">
      <c r="A391" s="14"/>
      <c r="B391" s="220"/>
      <c r="C391" s="6" t="str">
        <f t="shared" si="68"/>
        <v>PP</v>
      </c>
      <c r="D391" t="s">
        <v>529</v>
      </c>
      <c r="E391">
        <f>$C$374*E80</f>
        <v>0</v>
      </c>
      <c r="F391" t="s">
        <v>10</v>
      </c>
      <c r="G391" s="32" t="str">
        <f>$B$374&amp;" * "&amp;D80</f>
        <v>soft_carbon * soft_PP_WG_SS_mass_mechanical</v>
      </c>
      <c r="H391" s="220"/>
      <c r="I391" s="6" t="str">
        <f t="shared" si="69"/>
        <v>PP</v>
      </c>
      <c r="J391" t="s">
        <v>553</v>
      </c>
      <c r="K391">
        <f>$C$374*K80</f>
        <v>0</v>
      </c>
      <c r="L391" t="s">
        <v>10</v>
      </c>
      <c r="M391" t="s">
        <v>169</v>
      </c>
      <c r="N391" s="14"/>
    </row>
    <row r="392" spans="1:14" ht="15" customHeight="1" x14ac:dyDescent="0.2">
      <c r="A392" s="14"/>
      <c r="B392" s="220"/>
      <c r="C392" s="6" t="str">
        <f t="shared" si="68"/>
        <v>PS</v>
      </c>
      <c r="D392" t="s">
        <v>530</v>
      </c>
      <c r="E392">
        <f>$C$374*E81</f>
        <v>0</v>
      </c>
      <c r="F392" t="s">
        <v>10</v>
      </c>
      <c r="G392" s="32" t="str">
        <f>$B$374&amp;" * "&amp;D81</f>
        <v>soft_carbon * soft_PS_WG_SS_mass_mechanical</v>
      </c>
      <c r="H392" s="220"/>
      <c r="I392" s="6" t="str">
        <f t="shared" si="69"/>
        <v>PS</v>
      </c>
      <c r="J392" t="s">
        <v>554</v>
      </c>
      <c r="K392">
        <f>$C$374*K81</f>
        <v>0</v>
      </c>
      <c r="L392" t="s">
        <v>10</v>
      </c>
      <c r="M392" t="s">
        <v>169</v>
      </c>
      <c r="N392" s="14"/>
    </row>
    <row r="393" spans="1:14" ht="15" customHeight="1" x14ac:dyDescent="0.2">
      <c r="A393" s="14"/>
      <c r="B393" s="220"/>
      <c r="C393" s="6" t="str">
        <f t="shared" si="68"/>
        <v>Other</v>
      </c>
      <c r="D393" t="s">
        <v>531</v>
      </c>
      <c r="E393">
        <f>$C$374*E82</f>
        <v>70.086240000000018</v>
      </c>
      <c r="F393" t="s">
        <v>10</v>
      </c>
      <c r="G393" s="32" t="str">
        <f>$B$374&amp;" * "&amp;D82</f>
        <v>soft_carbon * soft_Oth_WG_SS_mass_mechanical</v>
      </c>
      <c r="H393" s="220"/>
      <c r="I393" s="6" t="str">
        <f t="shared" si="69"/>
        <v>Other</v>
      </c>
      <c r="J393" t="s">
        <v>555</v>
      </c>
      <c r="K393">
        <f>$C$374*K82</f>
        <v>0</v>
      </c>
      <c r="L393" t="s">
        <v>10</v>
      </c>
      <c r="M393" t="s">
        <v>169</v>
      </c>
      <c r="N393" s="14"/>
    </row>
    <row r="394" spans="1:14" ht="15" customHeight="1" x14ac:dyDescent="0.2">
      <c r="A394" s="14"/>
      <c r="B394" s="220" t="s">
        <v>19</v>
      </c>
      <c r="C394" s="6" t="str">
        <f t="shared" si="68"/>
        <v>PET</v>
      </c>
      <c r="D394" t="s">
        <v>532</v>
      </c>
      <c r="E394">
        <f>$C$375*E83</f>
        <v>0</v>
      </c>
      <c r="F394" t="s">
        <v>10</v>
      </c>
      <c r="G394" s="32" t="s">
        <v>168</v>
      </c>
      <c r="H394" s="220" t="s">
        <v>19</v>
      </c>
      <c r="I394" s="6" t="str">
        <f t="shared" si="69"/>
        <v>PET</v>
      </c>
      <c r="J394" t="s">
        <v>556</v>
      </c>
      <c r="K394">
        <f>$C$375*K83</f>
        <v>0</v>
      </c>
      <c r="L394" t="s">
        <v>10</v>
      </c>
      <c r="M394" t="str">
        <f>$B$375&amp;" * "&amp;D83</f>
        <v>nonrec_carbon * other_PET_WG_SS_mass_mechanical</v>
      </c>
      <c r="N394" s="14"/>
    </row>
    <row r="395" spans="1:14" ht="15" customHeight="1" x14ac:dyDescent="0.2">
      <c r="A395" s="14"/>
      <c r="B395" s="220"/>
      <c r="C395" s="6" t="str">
        <f t="shared" si="68"/>
        <v>PE</v>
      </c>
      <c r="D395" t="s">
        <v>533</v>
      </c>
      <c r="E395">
        <f>$C$375*E84</f>
        <v>0</v>
      </c>
      <c r="F395" t="s">
        <v>10</v>
      </c>
      <c r="G395" s="32" t="s">
        <v>168</v>
      </c>
      <c r="H395" s="220"/>
      <c r="I395" s="6" t="str">
        <f t="shared" si="69"/>
        <v>PE</v>
      </c>
      <c r="J395" t="s">
        <v>557</v>
      </c>
      <c r="K395">
        <f>$C$375*K84</f>
        <v>0</v>
      </c>
      <c r="L395" t="s">
        <v>10</v>
      </c>
      <c r="M395" t="str">
        <f>$B$375&amp;" * "&amp;D84</f>
        <v>nonrec_carbon * other_PE_WG_SS_mass_mechanical</v>
      </c>
      <c r="N395" s="14"/>
    </row>
    <row r="396" spans="1:14" ht="15" customHeight="1" x14ac:dyDescent="0.2">
      <c r="A396" s="14"/>
      <c r="B396" s="220"/>
      <c r="C396" s="6" t="str">
        <f t="shared" si="68"/>
        <v>PP</v>
      </c>
      <c r="D396" t="s">
        <v>534</v>
      </c>
      <c r="E396">
        <f>$C$375*E85</f>
        <v>0</v>
      </c>
      <c r="F396" t="s">
        <v>10</v>
      </c>
      <c r="G396" s="32" t="s">
        <v>168</v>
      </c>
      <c r="H396" s="220"/>
      <c r="I396" s="6" t="str">
        <f t="shared" si="69"/>
        <v>PP</v>
      </c>
      <c r="J396" t="s">
        <v>558</v>
      </c>
      <c r="K396">
        <f>$C$375*K85</f>
        <v>0</v>
      </c>
      <c r="L396" t="s">
        <v>10</v>
      </c>
      <c r="M396" t="str">
        <f>$B$375&amp;" * "&amp;D85</f>
        <v>nonrec_carbon * other_PP_WG_SS_mass_mechanical</v>
      </c>
      <c r="N396" s="14"/>
    </row>
    <row r="397" spans="1:14" ht="15" customHeight="1" x14ac:dyDescent="0.2">
      <c r="A397" s="14"/>
      <c r="B397" s="220"/>
      <c r="C397" s="6" t="str">
        <f t="shared" si="68"/>
        <v>PS</v>
      </c>
      <c r="D397" t="s">
        <v>535</v>
      </c>
      <c r="E397">
        <f>$C$375*E86</f>
        <v>0</v>
      </c>
      <c r="F397" t="s">
        <v>10</v>
      </c>
      <c r="G397" s="32" t="s">
        <v>168</v>
      </c>
      <c r="H397" s="220"/>
      <c r="I397" s="6" t="str">
        <f t="shared" si="69"/>
        <v>PS</v>
      </c>
      <c r="J397" t="s">
        <v>559</v>
      </c>
      <c r="K397">
        <f>$C$375*K86</f>
        <v>0</v>
      </c>
      <c r="L397" t="s">
        <v>10</v>
      </c>
      <c r="M397" t="str">
        <f>$B$375&amp;" * "&amp;D86</f>
        <v>nonrec_carbon * other_PS_WG_SS_mass_mechanical</v>
      </c>
      <c r="N397" s="14"/>
    </row>
    <row r="398" spans="1:14" ht="15" customHeight="1" x14ac:dyDescent="0.2">
      <c r="A398" s="14"/>
      <c r="B398" s="227"/>
      <c r="C398" s="60" t="str">
        <f t="shared" si="68"/>
        <v>Other</v>
      </c>
      <c r="D398" s="44" t="s">
        <v>536</v>
      </c>
      <c r="E398" s="44">
        <f>$C$375*E87</f>
        <v>65.587399999999946</v>
      </c>
      <c r="F398" s="44" t="s">
        <v>10</v>
      </c>
      <c r="G398" s="61" t="s">
        <v>168</v>
      </c>
      <c r="H398" s="220"/>
      <c r="I398" s="6" t="str">
        <f t="shared" si="69"/>
        <v>Other</v>
      </c>
      <c r="J398" t="s">
        <v>560</v>
      </c>
      <c r="K398">
        <f>$C$375*K87</f>
        <v>0</v>
      </c>
      <c r="L398" t="s">
        <v>10</v>
      </c>
      <c r="M398" t="str">
        <f>$B$375&amp;" * "&amp;D87</f>
        <v>nonrec_carbon * other_Oth_WG_SS_mass_mechanical</v>
      </c>
      <c r="N398" s="14"/>
    </row>
    <row r="399" spans="1:14" ht="25" customHeight="1" x14ac:dyDescent="0.2">
      <c r="A399" s="14"/>
      <c r="B399" s="214" t="s">
        <v>45</v>
      </c>
      <c r="C399" s="214"/>
      <c r="D399" s="214"/>
      <c r="E399" s="214"/>
      <c r="F399" s="214"/>
      <c r="G399" s="214"/>
      <c r="H399" s="214"/>
      <c r="I399" s="214"/>
      <c r="J399" s="214"/>
      <c r="K399" s="214"/>
      <c r="L399" s="214"/>
      <c r="M399" s="214"/>
      <c r="N399" s="14"/>
    </row>
    <row r="400" spans="1:14" ht="15" customHeight="1" x14ac:dyDescent="0.2">
      <c r="A400" s="14"/>
      <c r="B400" s="53" t="s">
        <v>46</v>
      </c>
      <c r="C400" s="10" t="s">
        <v>3</v>
      </c>
      <c r="D400" s="10" t="s">
        <v>4</v>
      </c>
      <c r="E400" s="53" t="s">
        <v>7</v>
      </c>
      <c r="F400" s="10"/>
      <c r="G400" s="40"/>
      <c r="H400" s="53" t="s">
        <v>49</v>
      </c>
      <c r="I400" s="53" t="s">
        <v>3</v>
      </c>
      <c r="J400" s="53" t="s">
        <v>4</v>
      </c>
      <c r="K400" s="53" t="s">
        <v>7</v>
      </c>
      <c r="L400" s="10"/>
      <c r="M400" s="10"/>
      <c r="N400" s="14"/>
    </row>
    <row r="401" spans="1:14" ht="15" customHeight="1" x14ac:dyDescent="0.2">
      <c r="A401" s="14"/>
      <c r="B401" t="s">
        <v>537</v>
      </c>
      <c r="C401">
        <f>SUM(E379:E383)</f>
        <v>206.20799999999997</v>
      </c>
      <c r="D401" t="s">
        <v>96</v>
      </c>
      <c r="E401" t="s">
        <v>1131</v>
      </c>
      <c r="F401" s="2"/>
      <c r="G401" s="4"/>
      <c r="H401" t="s">
        <v>561</v>
      </c>
      <c r="I401">
        <f>SUM(K379:K383)</f>
        <v>0</v>
      </c>
      <c r="J401" t="s">
        <v>96</v>
      </c>
      <c r="K401" t="s">
        <v>1120</v>
      </c>
      <c r="L401" s="2"/>
      <c r="M401" s="2"/>
      <c r="N401" s="14"/>
    </row>
    <row r="402" spans="1:14" ht="15" customHeight="1" x14ac:dyDescent="0.2">
      <c r="A402" s="14"/>
      <c r="B402" t="s">
        <v>538</v>
      </c>
      <c r="C402">
        <f>SUM(E384:E388)</f>
        <v>153.91200000000001</v>
      </c>
      <c r="D402" t="str">
        <f>D401</f>
        <v>kg C</v>
      </c>
      <c r="E402" t="s">
        <v>1132</v>
      </c>
      <c r="F402" s="2"/>
      <c r="G402" s="4"/>
      <c r="H402" t="s">
        <v>562</v>
      </c>
      <c r="I402">
        <f>SUM(K384:K388)</f>
        <v>0</v>
      </c>
      <c r="J402" t="str">
        <f>J401</f>
        <v>kg C</v>
      </c>
      <c r="K402" t="s">
        <v>1121</v>
      </c>
      <c r="L402" s="2"/>
      <c r="M402" s="2"/>
      <c r="N402" s="14"/>
    </row>
    <row r="403" spans="1:14" ht="15" customHeight="1" x14ac:dyDescent="0.2">
      <c r="A403" s="14"/>
      <c r="B403" t="s">
        <v>539</v>
      </c>
      <c r="C403">
        <f>SUM(E389:E393)</f>
        <v>280.34496000000001</v>
      </c>
      <c r="D403" t="str">
        <f>D402</f>
        <v>kg C</v>
      </c>
      <c r="E403" t="s">
        <v>1133</v>
      </c>
      <c r="F403" s="2"/>
      <c r="G403" s="4"/>
      <c r="H403" t="s">
        <v>563</v>
      </c>
      <c r="I403">
        <f>SUM(K389:K393)</f>
        <v>0</v>
      </c>
      <c r="J403" t="s">
        <v>96</v>
      </c>
      <c r="K403" t="s">
        <v>1122</v>
      </c>
      <c r="L403" s="2"/>
      <c r="M403" s="2"/>
      <c r="N403" s="14"/>
    </row>
    <row r="404" spans="1:14" ht="15" customHeight="1" thickBot="1" x14ac:dyDescent="0.25">
      <c r="A404" s="14"/>
      <c r="B404" s="8" t="s">
        <v>540</v>
      </c>
      <c r="C404" s="8">
        <f>SUM(E394:E398)</f>
        <v>65.587399999999946</v>
      </c>
      <c r="D404" s="8" t="s">
        <v>96</v>
      </c>
      <c r="E404" s="8" t="s">
        <v>1134</v>
      </c>
      <c r="F404" s="8"/>
      <c r="G404" s="87"/>
      <c r="H404" s="8" t="s">
        <v>564</v>
      </c>
      <c r="I404" s="88">
        <f>SUM(K394:K398)</f>
        <v>0</v>
      </c>
      <c r="J404" s="8" t="s">
        <v>96</v>
      </c>
      <c r="K404" s="8" t="s">
        <v>1135</v>
      </c>
      <c r="L404" s="8"/>
      <c r="M404" s="8"/>
      <c r="N404" s="14"/>
    </row>
    <row r="405" spans="1:14" ht="15" customHeight="1" thickTop="1" x14ac:dyDescent="0.2">
      <c r="A405" s="14"/>
      <c r="B405" s="44" t="s">
        <v>541</v>
      </c>
      <c r="C405" s="44">
        <f>SUM(C401:C404)</f>
        <v>706.05235999999991</v>
      </c>
      <c r="D405" s="44" t="s">
        <v>96</v>
      </c>
      <c r="E405" s="44" t="s">
        <v>1154</v>
      </c>
      <c r="F405" s="56"/>
      <c r="G405" s="57"/>
      <c r="H405" s="44" t="s">
        <v>565</v>
      </c>
      <c r="I405" s="44">
        <f>SUM(K379:K398)</f>
        <v>0</v>
      </c>
      <c r="J405" s="44" t="s">
        <v>96</v>
      </c>
      <c r="K405" s="44" t="s">
        <v>1155</v>
      </c>
      <c r="L405" s="56"/>
      <c r="M405" s="56"/>
      <c r="N405" s="14"/>
    </row>
    <row r="406" spans="1:14" ht="15" customHeight="1" x14ac:dyDescent="0.2">
      <c r="A406" s="14"/>
      <c r="B406" s="125" t="s">
        <v>2704</v>
      </c>
      <c r="C406" s="125" t="str">
        <f>IF(C405+I405=C372*($C$41*$C$39)+C373*($C$42*$C$39)+C374*($C$43*$C$39)+C375*($C$44*$C$39),"true")</f>
        <v>true</v>
      </c>
      <c r="D406" s="125"/>
      <c r="E406" s="125"/>
      <c r="F406" s="125"/>
      <c r="G406" s="125"/>
      <c r="H406" s="125"/>
      <c r="I406" s="125"/>
      <c r="J406" s="125"/>
      <c r="K406" s="125"/>
      <c r="L406" s="125"/>
      <c r="M406" s="125"/>
      <c r="N406" s="14"/>
    </row>
    <row r="407" spans="1:14" ht="15" customHeight="1" x14ac:dyDescent="0.2">
      <c r="A407" s="14"/>
      <c r="B407" s="14"/>
      <c r="C407" s="14"/>
      <c r="D407" s="14"/>
      <c r="E407" s="14"/>
      <c r="F407" s="14"/>
      <c r="G407" s="14"/>
      <c r="H407" s="14"/>
      <c r="I407" s="14"/>
      <c r="J407" s="14"/>
      <c r="K407" s="14"/>
      <c r="L407" s="14"/>
      <c r="M407" s="14"/>
      <c r="N407" s="14"/>
    </row>
    <row r="408" spans="1:14" ht="15" customHeight="1" x14ac:dyDescent="0.2">
      <c r="A408" s="14"/>
      <c r="B408" s="14"/>
      <c r="C408" s="14"/>
      <c r="D408" s="14"/>
      <c r="E408" s="14"/>
      <c r="F408" s="14"/>
      <c r="G408" s="14"/>
      <c r="H408" s="14"/>
      <c r="I408" s="14"/>
      <c r="J408" s="14"/>
      <c r="K408" s="14"/>
      <c r="L408" s="14"/>
      <c r="M408" s="14"/>
      <c r="N408" s="14"/>
    </row>
    <row r="409" spans="1:14" ht="15" customHeight="1" x14ac:dyDescent="0.2">
      <c r="A409" s="14"/>
      <c r="B409" s="14"/>
      <c r="C409" s="14"/>
      <c r="D409" s="14"/>
      <c r="E409" s="14"/>
      <c r="F409" s="14"/>
      <c r="G409" s="14"/>
      <c r="H409" s="14"/>
      <c r="I409" s="14"/>
      <c r="J409" s="14"/>
      <c r="K409" s="14"/>
      <c r="L409" s="14"/>
      <c r="M409" s="14"/>
      <c r="N409" s="14"/>
    </row>
    <row r="410" spans="1:14" ht="25" customHeight="1" x14ac:dyDescent="0.2">
      <c r="A410" s="14"/>
      <c r="B410" s="214" t="s">
        <v>51</v>
      </c>
      <c r="C410" s="214"/>
      <c r="D410" s="214"/>
      <c r="E410" s="214"/>
      <c r="F410" s="214"/>
      <c r="G410" s="214"/>
      <c r="H410" s="214"/>
      <c r="I410" s="214"/>
      <c r="J410" s="214"/>
      <c r="K410" s="214"/>
      <c r="L410" s="214"/>
      <c r="M410" s="214"/>
      <c r="N410" s="14"/>
    </row>
    <row r="411" spans="1:14" ht="25" customHeight="1" x14ac:dyDescent="0.2">
      <c r="A411" s="14"/>
      <c r="B411" s="214" t="s">
        <v>53</v>
      </c>
      <c r="C411" s="214"/>
      <c r="D411" s="214"/>
      <c r="E411" s="214"/>
      <c r="F411" s="214"/>
      <c r="G411" s="214"/>
      <c r="H411" s="214"/>
      <c r="I411" s="214"/>
      <c r="J411" s="214"/>
      <c r="K411" s="214"/>
      <c r="L411" s="214"/>
      <c r="M411" s="214"/>
      <c r="N411" s="14"/>
    </row>
    <row r="412" spans="1:14" ht="25" customHeight="1" x14ac:dyDescent="0.2">
      <c r="A412" s="14"/>
      <c r="B412" s="214" t="s">
        <v>54</v>
      </c>
      <c r="C412" s="214"/>
      <c r="D412" s="214"/>
      <c r="E412" s="214"/>
      <c r="F412" s="214"/>
      <c r="G412" s="223"/>
      <c r="H412" s="214" t="s">
        <v>48</v>
      </c>
      <c r="I412" s="214"/>
      <c r="J412" s="214"/>
      <c r="K412" s="214"/>
      <c r="L412" s="214"/>
      <c r="M412" s="214"/>
      <c r="N412" s="14"/>
    </row>
    <row r="413" spans="1:14" ht="15" customHeight="1" x14ac:dyDescent="0.2">
      <c r="A413" s="14"/>
      <c r="B413" s="2" t="s">
        <v>21</v>
      </c>
      <c r="C413" s="3" t="s">
        <v>20</v>
      </c>
      <c r="D413" s="2" t="s">
        <v>99</v>
      </c>
      <c r="E413" s="2" t="s">
        <v>3</v>
      </c>
      <c r="F413" s="2" t="s">
        <v>4</v>
      </c>
      <c r="G413" s="4" t="s">
        <v>43</v>
      </c>
      <c r="H413" s="2" t="s">
        <v>21</v>
      </c>
      <c r="I413" s="3" t="s">
        <v>20</v>
      </c>
      <c r="J413" s="2" t="str">
        <f>D413</f>
        <v>Name</v>
      </c>
      <c r="K413" s="2" t="s">
        <v>3</v>
      </c>
      <c r="L413" s="2" t="s">
        <v>4</v>
      </c>
      <c r="M413" s="2" t="s">
        <v>43</v>
      </c>
      <c r="N413" s="14"/>
    </row>
    <row r="414" spans="1:14" ht="15" customHeight="1" x14ac:dyDescent="0.2">
      <c r="A414" s="14"/>
      <c r="B414" s="220" t="s">
        <v>14</v>
      </c>
      <c r="C414" s="6" t="str">
        <f>C379</f>
        <v>PET</v>
      </c>
      <c r="D414" t="s">
        <v>566</v>
      </c>
      <c r="E414" s="33">
        <f>$C$372*E113</f>
        <v>142.28351999999998</v>
      </c>
      <c r="F414" t="s">
        <v>96</v>
      </c>
      <c r="G414" s="32" t="str">
        <f>$B$372&amp;" * "&amp;D113</f>
        <v>bottle_carbon * bottle_PET_SS_COL_mass_mechanical</v>
      </c>
      <c r="H414" s="220" t="s">
        <v>14</v>
      </c>
      <c r="I414" s="6" t="str">
        <f>C414</f>
        <v>PET</v>
      </c>
      <c r="J414" t="s">
        <v>2709</v>
      </c>
      <c r="K414" s="33">
        <f>E379-E414</f>
        <v>15.809280000000001</v>
      </c>
      <c r="L414" t="s">
        <v>96</v>
      </c>
      <c r="M414" t="str">
        <f>D379&amp;" - "&amp;D414</f>
        <v>bottle_PET_WG_SS_carbon_mechanical - bottle_PET_SS_COL_carbon_mechanical</v>
      </c>
      <c r="N414" s="14" t="s">
        <v>1005</v>
      </c>
    </row>
    <row r="415" spans="1:14" ht="15" customHeight="1" x14ac:dyDescent="0.2">
      <c r="A415" s="14"/>
      <c r="B415" s="220"/>
      <c r="C415" s="6" t="str">
        <f t="shared" ref="C415:C433" si="70">C380</f>
        <v>PE</v>
      </c>
      <c r="D415" t="s">
        <v>567</v>
      </c>
      <c r="E415" s="33">
        <f>$C$372*E114</f>
        <v>43.30368</v>
      </c>
      <c r="F415" t="str">
        <f t="shared" ref="F415:F433" si="71">F414</f>
        <v>kg C</v>
      </c>
      <c r="G415" s="32" t="str">
        <f>$B$372&amp;" * "&amp;D114</f>
        <v>bottle_carbon * bottle_PE_SS_COL_mass_mechanical</v>
      </c>
      <c r="H415" s="220"/>
      <c r="I415" s="6" t="str">
        <f t="shared" ref="I415:I433" si="72">C415</f>
        <v>PE</v>
      </c>
      <c r="J415" t="s">
        <v>2710</v>
      </c>
      <c r="K415" s="33">
        <f>E380-E415</f>
        <v>4.8115200000000016</v>
      </c>
      <c r="L415" t="str">
        <f t="shared" ref="L415:L433" si="73">L414</f>
        <v>kg C</v>
      </c>
      <c r="M415" t="str">
        <f t="shared" ref="M415:M433" si="74">D380&amp;" - "&amp;D415</f>
        <v>bottle_PE_WG_SS_carbon_mechanical - bottle_PE_SS_COL_carbon_mechanical</v>
      </c>
      <c r="N415" s="14" t="s">
        <v>1005</v>
      </c>
    </row>
    <row r="416" spans="1:14" ht="15" customHeight="1" x14ac:dyDescent="0.2">
      <c r="A416" s="14"/>
      <c r="B416" s="220"/>
      <c r="C416" s="6" t="str">
        <f t="shared" si="70"/>
        <v>PP</v>
      </c>
      <c r="D416" t="s">
        <v>568</v>
      </c>
      <c r="E416" s="33">
        <f>$C$372*E115</f>
        <v>0</v>
      </c>
      <c r="F416" t="str">
        <f t="shared" si="71"/>
        <v>kg C</v>
      </c>
      <c r="G416" s="32" t="str">
        <f>$B$372&amp;" * "&amp;D115</f>
        <v>bottle_carbon * bottle_PP_SS_COL_mass_mechanical</v>
      </c>
      <c r="H416" s="220"/>
      <c r="I416" s="6" t="str">
        <f t="shared" si="72"/>
        <v>PP</v>
      </c>
      <c r="J416" t="s">
        <v>2711</v>
      </c>
      <c r="K416" s="33">
        <f>E381-E416</f>
        <v>0</v>
      </c>
      <c r="L416" t="str">
        <f t="shared" si="73"/>
        <v>kg C</v>
      </c>
      <c r="M416" t="str">
        <f t="shared" si="74"/>
        <v>bottle_PP_WG_SS_carbon_mechanical - bottle_PP_SS_COL_carbon_mechanical</v>
      </c>
      <c r="N416" s="14" t="s">
        <v>1005</v>
      </c>
    </row>
    <row r="417" spans="1:14" ht="15" customHeight="1" x14ac:dyDescent="0.2">
      <c r="A417" s="14"/>
      <c r="B417" s="220"/>
      <c r="C417" s="6" t="str">
        <f t="shared" si="70"/>
        <v>PS</v>
      </c>
      <c r="D417" t="s">
        <v>569</v>
      </c>
      <c r="E417" s="33">
        <f>$C$372*E116</f>
        <v>0</v>
      </c>
      <c r="F417" t="str">
        <f t="shared" si="71"/>
        <v>kg C</v>
      </c>
      <c r="G417" s="32" t="str">
        <f>$B$372&amp;" * "&amp;D116</f>
        <v>bottle_carbon * bottle_PS_SS_COL_mass_mechanical</v>
      </c>
      <c r="H417" s="220"/>
      <c r="I417" s="6" t="str">
        <f t="shared" si="72"/>
        <v>PS</v>
      </c>
      <c r="J417" t="s">
        <v>2712</v>
      </c>
      <c r="K417" s="33">
        <f t="shared" ref="K417:K433" si="75">E382-E417</f>
        <v>0</v>
      </c>
      <c r="L417" t="str">
        <f t="shared" si="73"/>
        <v>kg C</v>
      </c>
      <c r="M417" t="str">
        <f t="shared" si="74"/>
        <v>bottle_PS_WG_SS_carbon_mechanical - bottle_PS_SS_COL_carbon_mechanical</v>
      </c>
      <c r="N417" s="14" t="s">
        <v>1005</v>
      </c>
    </row>
    <row r="418" spans="1:14" ht="15" customHeight="1" x14ac:dyDescent="0.2">
      <c r="A418" s="14"/>
      <c r="B418" s="220"/>
      <c r="C418" s="6" t="str">
        <f t="shared" si="70"/>
        <v>Other</v>
      </c>
      <c r="D418" t="s">
        <v>570</v>
      </c>
      <c r="E418" s="33">
        <f>$C$372*E117</f>
        <v>0</v>
      </c>
      <c r="F418" t="str">
        <f t="shared" si="71"/>
        <v>kg C</v>
      </c>
      <c r="G418" s="32" t="str">
        <f>$B$372&amp;" * "&amp;D117</f>
        <v>bottle_carbon * bottle_Oth_SS_COL_mass_mechanical</v>
      </c>
      <c r="H418" s="220"/>
      <c r="I418" s="6" t="str">
        <f t="shared" si="72"/>
        <v>Other</v>
      </c>
      <c r="J418" t="s">
        <v>2713</v>
      </c>
      <c r="K418" s="33">
        <f t="shared" si="75"/>
        <v>0</v>
      </c>
      <c r="L418" t="str">
        <f t="shared" si="73"/>
        <v>kg C</v>
      </c>
      <c r="M418" t="str">
        <f t="shared" si="74"/>
        <v>bottle_Oth_WG_SS_carbon_mechanical - bottle_Oth_SS_COL_carbon_mechanical</v>
      </c>
      <c r="N418" s="14" t="s">
        <v>1005</v>
      </c>
    </row>
    <row r="419" spans="1:14" ht="15" customHeight="1" x14ac:dyDescent="0.2">
      <c r="A419" s="14"/>
      <c r="B419" s="220" t="s">
        <v>15</v>
      </c>
      <c r="C419" s="6" t="str">
        <f t="shared" si="70"/>
        <v>PET</v>
      </c>
      <c r="D419" t="s">
        <v>571</v>
      </c>
      <c r="E419" s="33">
        <f>$C$373*E118</f>
        <v>27.704160000000002</v>
      </c>
      <c r="F419" t="str">
        <f t="shared" si="71"/>
        <v>kg C</v>
      </c>
      <c r="G419" s="32" t="str">
        <f>$B$373&amp;" * "&amp;D118</f>
        <v>rigid_carbon * rigid_PET_SS_COL_mass_mechanical</v>
      </c>
      <c r="H419" s="220" t="s">
        <v>15</v>
      </c>
      <c r="I419" s="6" t="str">
        <f t="shared" si="72"/>
        <v>PET</v>
      </c>
      <c r="J419" t="s">
        <v>2714</v>
      </c>
      <c r="K419" s="33">
        <f t="shared" si="75"/>
        <v>3.078240000000001</v>
      </c>
      <c r="L419" t="str">
        <f t="shared" si="73"/>
        <v>kg C</v>
      </c>
      <c r="M419" t="str">
        <f t="shared" si="74"/>
        <v>rigid_PET_WG_SS_carbon_mechanical - rigid_PET_SS_COL_carbon_mechanical</v>
      </c>
      <c r="N419" s="14" t="s">
        <v>1005</v>
      </c>
    </row>
    <row r="420" spans="1:14" ht="15" customHeight="1" x14ac:dyDescent="0.2">
      <c r="A420" s="14"/>
      <c r="B420" s="220"/>
      <c r="C420" s="6" t="str">
        <f t="shared" si="70"/>
        <v>PE</v>
      </c>
      <c r="D420" t="s">
        <v>572</v>
      </c>
      <c r="E420" s="33">
        <f>$C$373*E119</f>
        <v>20.778120000000001</v>
      </c>
      <c r="F420" t="str">
        <f t="shared" si="71"/>
        <v>kg C</v>
      </c>
      <c r="G420" s="32" t="str">
        <f>$B$373&amp;" * "&amp;D119</f>
        <v>rigid_carbon * rigid_PE_SS_COL_mass_mechanical</v>
      </c>
      <c r="H420" s="220"/>
      <c r="I420" s="6" t="str">
        <f t="shared" si="72"/>
        <v>PE</v>
      </c>
      <c r="J420" t="s">
        <v>2715</v>
      </c>
      <c r="K420" s="33">
        <f t="shared" si="75"/>
        <v>2.308679999999999</v>
      </c>
      <c r="L420" t="str">
        <f t="shared" si="73"/>
        <v>kg C</v>
      </c>
      <c r="M420" t="str">
        <f t="shared" si="74"/>
        <v>rigid_PE_WG_SS_carbon_mechanical - rigid_PE_SS_COL_carbon_mechanical</v>
      </c>
      <c r="N420" s="14" t="s">
        <v>1005</v>
      </c>
    </row>
    <row r="421" spans="1:14" ht="15" customHeight="1" x14ac:dyDescent="0.2">
      <c r="A421" s="14"/>
      <c r="B421" s="220"/>
      <c r="C421" s="6" t="str">
        <f t="shared" si="70"/>
        <v>PP</v>
      </c>
      <c r="D421" t="s">
        <v>573</v>
      </c>
      <c r="E421" s="33">
        <f>$C$373*E120</f>
        <v>48.482280000000003</v>
      </c>
      <c r="F421" t="str">
        <f t="shared" si="71"/>
        <v>kg C</v>
      </c>
      <c r="G421" s="32" t="str">
        <f>$B$373&amp;" * "&amp;D120</f>
        <v>rigid_carbon * rigid_PP_SS_COL_mass_mechanical</v>
      </c>
      <c r="H421" s="220"/>
      <c r="I421" s="6" t="str">
        <f t="shared" si="72"/>
        <v>PP</v>
      </c>
      <c r="J421" t="s">
        <v>2716</v>
      </c>
      <c r="K421" s="33">
        <f t="shared" si="75"/>
        <v>5.3869199999999964</v>
      </c>
      <c r="L421" t="str">
        <f t="shared" si="73"/>
        <v>kg C</v>
      </c>
      <c r="M421" t="str">
        <f t="shared" si="74"/>
        <v>rigid_PP_WG_SS_carbon_mechanical - rigid_PP_SS_COL_carbon_mechanical</v>
      </c>
      <c r="N421" s="14" t="s">
        <v>1005</v>
      </c>
    </row>
    <row r="422" spans="1:14" ht="15" customHeight="1" x14ac:dyDescent="0.2">
      <c r="A422" s="14"/>
      <c r="B422" s="220"/>
      <c r="C422" s="6" t="str">
        <f t="shared" si="70"/>
        <v>PS</v>
      </c>
      <c r="D422" t="s">
        <v>574</v>
      </c>
      <c r="E422" s="33">
        <f>$C$373*E121</f>
        <v>6.9260400000000004</v>
      </c>
      <c r="F422" t="str">
        <f t="shared" si="71"/>
        <v>kg C</v>
      </c>
      <c r="G422" s="32" t="str">
        <f>$B$373&amp;" * "&amp;D121</f>
        <v>rigid_carbon * rigid_PS_SS_COL_mass_mechanical</v>
      </c>
      <c r="H422" s="220"/>
      <c r="I422" s="6" t="str">
        <f t="shared" si="72"/>
        <v>PS</v>
      </c>
      <c r="J422" t="s">
        <v>2717</v>
      </c>
      <c r="K422" s="33">
        <f t="shared" si="75"/>
        <v>0.76956000000000024</v>
      </c>
      <c r="L422" t="str">
        <f t="shared" si="73"/>
        <v>kg C</v>
      </c>
      <c r="M422" t="str">
        <f t="shared" si="74"/>
        <v>rigid_PS_WG_SS_carbon_mechanical - rigid_PS_SS_COL_carbon_mechanical</v>
      </c>
      <c r="N422" s="14" t="s">
        <v>1005</v>
      </c>
    </row>
    <row r="423" spans="1:14" ht="15" customHeight="1" x14ac:dyDescent="0.2">
      <c r="A423" s="14"/>
      <c r="B423" s="220"/>
      <c r="C423" s="6" t="str">
        <f t="shared" si="70"/>
        <v>Other</v>
      </c>
      <c r="D423" t="s">
        <v>575</v>
      </c>
      <c r="E423" s="33">
        <f>$C$373*E122</f>
        <v>34.630199999999988</v>
      </c>
      <c r="F423" t="str">
        <f t="shared" si="71"/>
        <v>kg C</v>
      </c>
      <c r="G423" s="32" t="str">
        <f>$B$373&amp;" * "&amp;D122</f>
        <v>rigid_carbon * rigid_Oth_SS_COL_mass_mechanical</v>
      </c>
      <c r="H423" s="220"/>
      <c r="I423" s="6" t="str">
        <f t="shared" si="72"/>
        <v>Other</v>
      </c>
      <c r="J423" t="s">
        <v>2718</v>
      </c>
      <c r="K423" s="33">
        <f t="shared" si="75"/>
        <v>3.8477999999999994</v>
      </c>
      <c r="L423" t="str">
        <f t="shared" si="73"/>
        <v>kg C</v>
      </c>
      <c r="M423" t="str">
        <f t="shared" si="74"/>
        <v>rigid_Oth_WG_SS_carbon_mechanical - rigid_Oth_SS_COL_carbon_mechanical</v>
      </c>
      <c r="N423" s="14" t="s">
        <v>1006</v>
      </c>
    </row>
    <row r="424" spans="1:14" ht="15" customHeight="1" x14ac:dyDescent="0.2">
      <c r="A424" s="14"/>
      <c r="B424" s="220" t="s">
        <v>42</v>
      </c>
      <c r="C424" s="6" t="str">
        <f t="shared" si="70"/>
        <v>PET</v>
      </c>
      <c r="D424" t="s">
        <v>576</v>
      </c>
      <c r="E424" s="33">
        <f>$C$374*E123</f>
        <v>0</v>
      </c>
      <c r="F424" t="str">
        <f t="shared" si="71"/>
        <v>kg C</v>
      </c>
      <c r="G424" s="32" t="str">
        <f>$B$374&amp;" * "&amp;D123</f>
        <v>soft_carbon * soft_PET_SS_COL_mass_mechanical</v>
      </c>
      <c r="H424" s="220" t="s">
        <v>42</v>
      </c>
      <c r="I424" s="6" t="str">
        <f t="shared" si="72"/>
        <v>PET</v>
      </c>
      <c r="J424" t="s">
        <v>2719</v>
      </c>
      <c r="K424" s="33">
        <f t="shared" si="75"/>
        <v>0</v>
      </c>
      <c r="L424" t="str">
        <f t="shared" si="73"/>
        <v>kg C</v>
      </c>
      <c r="M424" t="str">
        <f t="shared" si="74"/>
        <v>soft_PET_WG_SS_carbon_mechanical - soft_PET_SS_COL_carbon_mechanical</v>
      </c>
      <c r="N424" s="14" t="s">
        <v>1005</v>
      </c>
    </row>
    <row r="425" spans="1:14" ht="15" customHeight="1" x14ac:dyDescent="0.2">
      <c r="A425" s="14"/>
      <c r="B425" s="220"/>
      <c r="C425" s="6" t="str">
        <f t="shared" si="70"/>
        <v>PE</v>
      </c>
      <c r="D425" t="s">
        <v>577</v>
      </c>
      <c r="E425" s="33">
        <f>$C$374*E124</f>
        <v>189.23284799999999</v>
      </c>
      <c r="F425" t="str">
        <f t="shared" si="71"/>
        <v>kg C</v>
      </c>
      <c r="G425" s="32" t="str">
        <f>$B$374&amp;" * "&amp;D124</f>
        <v>soft_carbon * soft_PE_SS_COL_mass_mechanical</v>
      </c>
      <c r="H425" s="220"/>
      <c r="I425" s="6" t="str">
        <f t="shared" si="72"/>
        <v>PE</v>
      </c>
      <c r="J425" t="s">
        <v>2720</v>
      </c>
      <c r="K425" s="33">
        <f t="shared" si="75"/>
        <v>21.025872000000021</v>
      </c>
      <c r="L425" t="str">
        <f t="shared" si="73"/>
        <v>kg C</v>
      </c>
      <c r="M425" t="str">
        <f t="shared" si="74"/>
        <v>soft_PE_WG_SS_carbon_mechanical - soft_PE_SS_COL_carbon_mechanical</v>
      </c>
      <c r="N425" s="14" t="s">
        <v>1005</v>
      </c>
    </row>
    <row r="426" spans="1:14" ht="15" customHeight="1" x14ac:dyDescent="0.2">
      <c r="A426" s="14"/>
      <c r="B426" s="220"/>
      <c r="C426" s="6" t="str">
        <f t="shared" si="70"/>
        <v>PP</v>
      </c>
      <c r="D426" t="s">
        <v>578</v>
      </c>
      <c r="E426" s="33">
        <f>$C$374*E125</f>
        <v>0</v>
      </c>
      <c r="F426" t="str">
        <f t="shared" si="71"/>
        <v>kg C</v>
      </c>
      <c r="G426" s="32" t="str">
        <f>$B$374&amp;" * "&amp;D125</f>
        <v>soft_carbon * soft_PP_SS_COL_mass_mechanical</v>
      </c>
      <c r="H426" s="220"/>
      <c r="I426" s="6" t="str">
        <f t="shared" si="72"/>
        <v>PP</v>
      </c>
      <c r="J426" t="s">
        <v>2721</v>
      </c>
      <c r="K426" s="33">
        <f t="shared" si="75"/>
        <v>0</v>
      </c>
      <c r="L426" t="str">
        <f t="shared" si="73"/>
        <v>kg C</v>
      </c>
      <c r="M426" t="str">
        <f t="shared" si="74"/>
        <v>soft_PP_WG_SS_carbon_mechanical - soft_PP_SS_COL_carbon_mechanical</v>
      </c>
      <c r="N426" s="14" t="s">
        <v>1005</v>
      </c>
    </row>
    <row r="427" spans="1:14" ht="15" customHeight="1" x14ac:dyDescent="0.2">
      <c r="A427" s="14"/>
      <c r="B427" s="220"/>
      <c r="C427" s="6" t="str">
        <f t="shared" si="70"/>
        <v>PS</v>
      </c>
      <c r="D427" t="s">
        <v>579</v>
      </c>
      <c r="E427" s="33">
        <f>$C$374*E126</f>
        <v>0</v>
      </c>
      <c r="F427" t="str">
        <f t="shared" si="71"/>
        <v>kg C</v>
      </c>
      <c r="G427" s="32" t="str">
        <f>$B$374&amp;" * "&amp;D126</f>
        <v>soft_carbon * soft_PS_SS_COL_mass_mechanical</v>
      </c>
      <c r="H427" s="220"/>
      <c r="I427" s="6" t="str">
        <f t="shared" si="72"/>
        <v>PS</v>
      </c>
      <c r="J427" t="s">
        <v>2722</v>
      </c>
      <c r="K427" s="33">
        <f t="shared" si="75"/>
        <v>0</v>
      </c>
      <c r="L427" t="str">
        <f t="shared" si="73"/>
        <v>kg C</v>
      </c>
      <c r="M427" t="str">
        <f t="shared" si="74"/>
        <v>soft_PS_WG_SS_carbon_mechanical - soft_PS_SS_COL_carbon_mechanical</v>
      </c>
      <c r="N427" s="14" t="s">
        <v>1005</v>
      </c>
    </row>
    <row r="428" spans="1:14" ht="15" customHeight="1" x14ac:dyDescent="0.2">
      <c r="A428" s="14"/>
      <c r="B428" s="220"/>
      <c r="C428" s="6" t="str">
        <f t="shared" si="70"/>
        <v>Other</v>
      </c>
      <c r="D428" t="s">
        <v>580</v>
      </c>
      <c r="E428" s="33">
        <f>$C$374*E127</f>
        <v>63.07761600000002</v>
      </c>
      <c r="F428" t="str">
        <f t="shared" si="71"/>
        <v>kg C</v>
      </c>
      <c r="G428" s="32" t="str">
        <f>$B$374&amp;" * "&amp;D127</f>
        <v>soft_carbon * soft_Oth_SS_COL_mass_mechanical</v>
      </c>
      <c r="H428" s="220"/>
      <c r="I428" s="6" t="str">
        <f t="shared" si="72"/>
        <v>Other</v>
      </c>
      <c r="J428" t="s">
        <v>2723</v>
      </c>
      <c r="K428" s="33">
        <f t="shared" si="75"/>
        <v>7.0086239999999975</v>
      </c>
      <c r="L428" t="str">
        <f t="shared" si="73"/>
        <v>kg C</v>
      </c>
      <c r="M428" t="str">
        <f t="shared" si="74"/>
        <v>soft_Oth_WG_SS_carbon_mechanical - soft_Oth_SS_COL_carbon_mechanical</v>
      </c>
      <c r="N428" s="14" t="s">
        <v>1006</v>
      </c>
    </row>
    <row r="429" spans="1:14" ht="15" customHeight="1" x14ac:dyDescent="0.2">
      <c r="A429" s="14"/>
      <c r="B429" s="220" t="s">
        <v>19</v>
      </c>
      <c r="C429" s="6" t="str">
        <f t="shared" si="70"/>
        <v>PET</v>
      </c>
      <c r="D429" t="s">
        <v>2729</v>
      </c>
      <c r="E429" s="33">
        <f>$C$375*E128</f>
        <v>0</v>
      </c>
      <c r="F429" t="str">
        <f t="shared" si="71"/>
        <v>kg C</v>
      </c>
      <c r="G429" s="32" t="str">
        <f>$B$375&amp;" * "&amp;D128</f>
        <v>nonrec_carbon * other_PET_SS_COL_mass_mechanical</v>
      </c>
      <c r="H429" s="228" t="s">
        <v>19</v>
      </c>
      <c r="I429" s="6" t="str">
        <f t="shared" si="72"/>
        <v>PET</v>
      </c>
      <c r="J429" t="s">
        <v>2724</v>
      </c>
      <c r="K429" s="33">
        <f t="shared" si="75"/>
        <v>0</v>
      </c>
      <c r="L429" t="str">
        <f t="shared" si="73"/>
        <v>kg C</v>
      </c>
      <c r="M429" t="str">
        <f t="shared" si="74"/>
        <v>other_PET_WG_SS_carbon_mechanical - other_PET_SS_COL_carbon_mechanical</v>
      </c>
      <c r="N429" s="14"/>
    </row>
    <row r="430" spans="1:14" ht="15" customHeight="1" x14ac:dyDescent="0.2">
      <c r="A430" s="14"/>
      <c r="B430" s="220"/>
      <c r="C430" s="6" t="str">
        <f t="shared" si="70"/>
        <v>PE</v>
      </c>
      <c r="D430" t="s">
        <v>2730</v>
      </c>
      <c r="E430" s="33">
        <f t="shared" ref="E430:E433" si="76">$C$375*E129</f>
        <v>0</v>
      </c>
      <c r="F430" t="str">
        <f t="shared" si="71"/>
        <v>kg C</v>
      </c>
      <c r="G430" s="32" t="str">
        <f t="shared" ref="G430:G433" si="77">$B$375&amp;" * "&amp;D129</f>
        <v>nonrec_carbon * other_PE_SS_COL_mass_mechanical</v>
      </c>
      <c r="H430" s="228"/>
      <c r="I430" s="6" t="str">
        <f t="shared" si="72"/>
        <v>PE</v>
      </c>
      <c r="J430" t="s">
        <v>2725</v>
      </c>
      <c r="K430" s="33">
        <f t="shared" si="75"/>
        <v>0</v>
      </c>
      <c r="L430" t="str">
        <f t="shared" si="73"/>
        <v>kg C</v>
      </c>
      <c r="M430" t="str">
        <f t="shared" si="74"/>
        <v>other_PE_WG_SS_carbon_mechanical - other_PE_SS_COL_carbon_mechanical</v>
      </c>
      <c r="N430" s="14"/>
    </row>
    <row r="431" spans="1:14" ht="15" customHeight="1" x14ac:dyDescent="0.2">
      <c r="A431" s="14"/>
      <c r="B431" s="220"/>
      <c r="C431" s="6" t="str">
        <f t="shared" si="70"/>
        <v>PP</v>
      </c>
      <c r="D431" t="s">
        <v>2731</v>
      </c>
      <c r="E431" s="33">
        <f t="shared" si="76"/>
        <v>0</v>
      </c>
      <c r="F431" t="str">
        <f t="shared" si="71"/>
        <v>kg C</v>
      </c>
      <c r="G431" s="32" t="str">
        <f t="shared" si="77"/>
        <v>nonrec_carbon * other_PP_SS_COL_mass_mechanical</v>
      </c>
      <c r="H431" s="228"/>
      <c r="I431" s="6" t="str">
        <f t="shared" si="72"/>
        <v>PP</v>
      </c>
      <c r="J431" t="s">
        <v>2726</v>
      </c>
      <c r="K431" s="33">
        <f t="shared" si="75"/>
        <v>0</v>
      </c>
      <c r="L431" t="str">
        <f t="shared" si="73"/>
        <v>kg C</v>
      </c>
      <c r="M431" t="str">
        <f t="shared" si="74"/>
        <v>other_PP_WG_SS_carbon_mechanical - other_PP_SS_COL_carbon_mechanical</v>
      </c>
      <c r="N431" s="14"/>
    </row>
    <row r="432" spans="1:14" ht="15" customHeight="1" x14ac:dyDescent="0.2">
      <c r="A432" s="14"/>
      <c r="B432" s="220"/>
      <c r="C432" s="6" t="str">
        <f t="shared" si="70"/>
        <v>PS</v>
      </c>
      <c r="D432" t="s">
        <v>2732</v>
      </c>
      <c r="E432" s="33">
        <f t="shared" si="76"/>
        <v>0</v>
      </c>
      <c r="F432" t="str">
        <f t="shared" si="71"/>
        <v>kg C</v>
      </c>
      <c r="G432" s="32" t="str">
        <f t="shared" si="77"/>
        <v>nonrec_carbon * other_PS_SS_COL_mass_mechanical</v>
      </c>
      <c r="H432" s="228"/>
      <c r="I432" s="6" t="str">
        <f t="shared" si="72"/>
        <v>PS</v>
      </c>
      <c r="J432" t="s">
        <v>2727</v>
      </c>
      <c r="K432" s="33">
        <f t="shared" si="75"/>
        <v>0</v>
      </c>
      <c r="L432" t="str">
        <f t="shared" si="73"/>
        <v>kg C</v>
      </c>
      <c r="M432" t="str">
        <f t="shared" si="74"/>
        <v>other_PS_WG_SS_carbon_mechanical - other_PS_SS_COL_carbon_mechanical</v>
      </c>
      <c r="N432" s="14"/>
    </row>
    <row r="433" spans="1:14" ht="15" customHeight="1" x14ac:dyDescent="0.2">
      <c r="A433" s="14"/>
      <c r="B433" s="227"/>
      <c r="C433" s="60" t="str">
        <f t="shared" si="70"/>
        <v>Other</v>
      </c>
      <c r="D433" s="44" t="s">
        <v>2733</v>
      </c>
      <c r="E433" s="62">
        <f t="shared" si="76"/>
        <v>0</v>
      </c>
      <c r="F433" s="44" t="str">
        <f t="shared" si="71"/>
        <v>kg C</v>
      </c>
      <c r="G433" s="61" t="str">
        <f t="shared" si="77"/>
        <v>nonrec_carbon * other_Oth_SS_COL_mass_mechanical</v>
      </c>
      <c r="H433" s="229"/>
      <c r="I433" s="60" t="str">
        <f t="shared" si="72"/>
        <v>Other</v>
      </c>
      <c r="J433" s="44" t="s">
        <v>2728</v>
      </c>
      <c r="K433" s="62">
        <f t="shared" si="75"/>
        <v>65.587399999999946</v>
      </c>
      <c r="L433" s="44" t="str">
        <f t="shared" si="73"/>
        <v>kg C</v>
      </c>
      <c r="M433" s="44" t="str">
        <f t="shared" si="74"/>
        <v>other_Oth_WG_SS_carbon_mechanical - other_Oth_SS_COL_carbon_mechanical</v>
      </c>
      <c r="N433" s="14"/>
    </row>
    <row r="434" spans="1:14" ht="25" customHeight="1" x14ac:dyDescent="0.2">
      <c r="A434" s="14"/>
      <c r="B434" s="226" t="s">
        <v>55</v>
      </c>
      <c r="C434" s="226"/>
      <c r="D434" s="226"/>
      <c r="E434" s="226"/>
      <c r="F434" s="226"/>
      <c r="G434" s="226"/>
      <c r="H434" s="226"/>
      <c r="I434" s="226"/>
      <c r="J434" s="226"/>
      <c r="K434" s="226"/>
      <c r="L434" s="226"/>
      <c r="M434" s="226"/>
      <c r="N434" s="14"/>
    </row>
    <row r="435" spans="1:14" ht="15" customHeight="1" x14ac:dyDescent="0.2">
      <c r="A435" s="14"/>
      <c r="B435" s="2" t="s">
        <v>49</v>
      </c>
      <c r="C435" s="2" t="s">
        <v>3</v>
      </c>
      <c r="D435" s="2" t="s">
        <v>4</v>
      </c>
      <c r="E435" s="2" t="s">
        <v>7</v>
      </c>
      <c r="F435" s="2"/>
      <c r="G435" s="1"/>
      <c r="H435" s="2" t="str">
        <f>B435</f>
        <v>Parameter</v>
      </c>
      <c r="I435" s="2" t="str">
        <f>C435</f>
        <v>Value</v>
      </c>
      <c r="J435" s="2" t="str">
        <f>D435</f>
        <v>Unit</v>
      </c>
      <c r="K435" s="54" t="str">
        <f>E435</f>
        <v>Description</v>
      </c>
      <c r="L435" s="54"/>
      <c r="M435" s="54"/>
      <c r="N435" s="14"/>
    </row>
    <row r="436" spans="1:14" ht="15" customHeight="1" x14ac:dyDescent="0.2">
      <c r="A436" s="14"/>
      <c r="B436" t="s">
        <v>581</v>
      </c>
      <c r="C436" s="33">
        <f>SUM(E414:E418)</f>
        <v>185.5872</v>
      </c>
      <c r="D436" t="s">
        <v>96</v>
      </c>
      <c r="E436" t="s">
        <v>1137</v>
      </c>
      <c r="G436" s="32"/>
      <c r="H436" t="s">
        <v>585</v>
      </c>
      <c r="I436" s="33">
        <f>SUM(K414:K418)</f>
        <v>20.620800000000003</v>
      </c>
      <c r="J436" t="s">
        <v>96</v>
      </c>
      <c r="K436" t="s">
        <v>1120</v>
      </c>
      <c r="N436" s="14"/>
    </row>
    <row r="437" spans="1:14" ht="15" customHeight="1" x14ac:dyDescent="0.2">
      <c r="A437" s="14"/>
      <c r="B437" t="s">
        <v>582</v>
      </c>
      <c r="C437" s="33">
        <f>SUM(E419:E423)</f>
        <v>138.52080000000001</v>
      </c>
      <c r="D437" t="str">
        <f>D436</f>
        <v>kg C</v>
      </c>
      <c r="E437" t="s">
        <v>1138</v>
      </c>
      <c r="G437" s="32"/>
      <c r="H437" t="s">
        <v>586</v>
      </c>
      <c r="I437" s="33">
        <f>SUM(K419:K423)</f>
        <v>15.391199999999996</v>
      </c>
      <c r="J437" t="str">
        <f>J436</f>
        <v>kg C</v>
      </c>
      <c r="K437" t="s">
        <v>1121</v>
      </c>
      <c r="N437" s="14"/>
    </row>
    <row r="438" spans="1:14" ht="15" customHeight="1" x14ac:dyDescent="0.2">
      <c r="A438" s="14"/>
      <c r="B438" t="s">
        <v>583</v>
      </c>
      <c r="C438" s="33">
        <f>SUM(E424:E428)</f>
        <v>252.31046400000002</v>
      </c>
      <c r="D438" t="s">
        <v>96</v>
      </c>
      <c r="E438" t="s">
        <v>1139</v>
      </c>
      <c r="G438" s="32"/>
      <c r="H438" t="s">
        <v>587</v>
      </c>
      <c r="I438" s="33">
        <f>SUM(K424:K428)</f>
        <v>28.034496000000019</v>
      </c>
      <c r="J438" t="s">
        <v>96</v>
      </c>
      <c r="K438" t="s">
        <v>1122</v>
      </c>
      <c r="N438" s="14"/>
    </row>
    <row r="439" spans="1:14" ht="15" customHeight="1" thickBot="1" x14ac:dyDescent="0.25">
      <c r="A439" s="14"/>
      <c r="B439" s="8" t="s">
        <v>583</v>
      </c>
      <c r="C439" s="34">
        <f>SUM(E429:E433)</f>
        <v>0</v>
      </c>
      <c r="D439" s="8" t="s">
        <v>96</v>
      </c>
      <c r="E439" s="8" t="s">
        <v>2735</v>
      </c>
      <c r="F439" s="8"/>
      <c r="G439" s="87"/>
      <c r="H439" s="8" t="s">
        <v>2734</v>
      </c>
      <c r="I439" s="34">
        <f>SUM(K429:K433)</f>
        <v>65.587399999999946</v>
      </c>
      <c r="J439" s="8"/>
      <c r="K439" s="8"/>
      <c r="L439" s="8"/>
      <c r="M439" s="8"/>
      <c r="N439" s="14"/>
    </row>
    <row r="440" spans="1:14" ht="15" customHeight="1" thickTop="1" x14ac:dyDescent="0.2">
      <c r="A440" s="14"/>
      <c r="B440" s="44" t="s">
        <v>584</v>
      </c>
      <c r="C440" s="62">
        <f>SUM(C436:C439)</f>
        <v>576.41846400000009</v>
      </c>
      <c r="D440" s="44" t="s">
        <v>96</v>
      </c>
      <c r="E440" s="44" t="s">
        <v>1153</v>
      </c>
      <c r="F440" s="44"/>
      <c r="G440" s="61"/>
      <c r="H440" s="44" t="s">
        <v>588</v>
      </c>
      <c r="I440" s="62">
        <f>SUM(I436:I439)</f>
        <v>129.63389599999996</v>
      </c>
      <c r="J440" s="44" t="s">
        <v>96</v>
      </c>
      <c r="K440" s="44" t="s">
        <v>1151</v>
      </c>
      <c r="L440" s="44"/>
      <c r="M440" s="44"/>
      <c r="N440" s="14"/>
    </row>
    <row r="441" spans="1:14" ht="15" customHeight="1" x14ac:dyDescent="0.2">
      <c r="A441" s="14"/>
      <c r="B441" s="125" t="s">
        <v>2704</v>
      </c>
      <c r="C441" s="125" t="str">
        <f>IF(C440+I440=C405,"true")</f>
        <v>true</v>
      </c>
      <c r="D441" s="125"/>
      <c r="E441" s="125"/>
      <c r="F441" s="125"/>
      <c r="G441" s="125"/>
      <c r="H441" s="125"/>
      <c r="I441" s="125"/>
      <c r="J441" s="125"/>
      <c r="K441" s="125"/>
      <c r="L441" s="125"/>
      <c r="M441" s="125"/>
      <c r="N441" s="14"/>
    </row>
    <row r="442" spans="1:14" ht="15" customHeight="1" x14ac:dyDescent="0.2">
      <c r="A442" s="14"/>
      <c r="B442" s="14"/>
      <c r="C442" s="14"/>
      <c r="D442" s="14"/>
      <c r="E442" s="14"/>
      <c r="F442" s="14"/>
      <c r="G442" s="14"/>
      <c r="H442" s="14"/>
      <c r="I442" s="14"/>
      <c r="J442" s="14"/>
      <c r="K442" s="14"/>
      <c r="L442" s="14"/>
      <c r="M442" s="14"/>
      <c r="N442" s="14"/>
    </row>
    <row r="443" spans="1:14" ht="15" customHeight="1" x14ac:dyDescent="0.2">
      <c r="A443" s="14"/>
      <c r="B443" s="14"/>
      <c r="C443" s="14"/>
      <c r="D443" s="14"/>
      <c r="E443" s="14"/>
      <c r="F443" s="14"/>
      <c r="G443" s="14"/>
      <c r="H443" s="14"/>
      <c r="I443" s="14"/>
      <c r="J443" s="14"/>
      <c r="K443" s="14"/>
      <c r="L443" s="14"/>
      <c r="M443" s="14"/>
      <c r="N443" s="14"/>
    </row>
    <row r="444" spans="1:14" ht="15" customHeight="1" x14ac:dyDescent="0.2">
      <c r="A444" s="14"/>
      <c r="B444" s="14"/>
      <c r="C444" s="14"/>
      <c r="D444" s="14"/>
      <c r="E444" s="14"/>
      <c r="F444" s="14"/>
      <c r="G444" s="14"/>
      <c r="H444" s="14"/>
      <c r="I444" s="14"/>
      <c r="J444" s="14"/>
      <c r="K444" s="14"/>
      <c r="L444" s="14"/>
      <c r="M444" s="14"/>
      <c r="N444" s="14"/>
    </row>
    <row r="445" spans="1:14" ht="25" customHeight="1" x14ac:dyDescent="0.2">
      <c r="A445" s="14"/>
      <c r="B445" s="214" t="s">
        <v>56</v>
      </c>
      <c r="C445" s="214"/>
      <c r="D445" s="214"/>
      <c r="E445" s="214"/>
      <c r="F445" s="214"/>
      <c r="G445" s="214"/>
      <c r="H445" s="214"/>
      <c r="I445" s="214"/>
      <c r="J445" s="214"/>
      <c r="K445" s="214"/>
      <c r="L445" s="214"/>
      <c r="M445" s="214"/>
      <c r="N445" s="14"/>
    </row>
    <row r="446" spans="1:14" ht="25" customHeight="1" x14ac:dyDescent="0.2">
      <c r="A446" s="14"/>
      <c r="B446" s="214" t="s">
        <v>57</v>
      </c>
      <c r="C446" s="214"/>
      <c r="D446" s="214"/>
      <c r="E446" s="214"/>
      <c r="F446" s="214"/>
      <c r="G446" s="214"/>
      <c r="H446" s="214"/>
      <c r="I446" s="214"/>
      <c r="J446" s="214"/>
      <c r="K446" s="214"/>
      <c r="L446" s="214"/>
      <c r="M446" s="214"/>
      <c r="N446" s="14"/>
    </row>
    <row r="447" spans="1:14" ht="25" customHeight="1" x14ac:dyDescent="0.2">
      <c r="A447" s="14"/>
      <c r="B447" s="214" t="s">
        <v>58</v>
      </c>
      <c r="C447" s="214"/>
      <c r="D447" s="214"/>
      <c r="E447" s="214"/>
      <c r="F447" s="214"/>
      <c r="G447" s="223"/>
      <c r="H447" s="214" t="s">
        <v>154</v>
      </c>
      <c r="I447" s="214"/>
      <c r="J447" s="214"/>
      <c r="K447" s="214"/>
      <c r="L447" s="214"/>
      <c r="M447" s="214"/>
      <c r="N447" s="14"/>
    </row>
    <row r="448" spans="1:14" ht="15" customHeight="1" x14ac:dyDescent="0.2">
      <c r="A448" s="14"/>
      <c r="B448" s="2" t="str">
        <f>B413</f>
        <v>Fraction</v>
      </c>
      <c r="C448" s="2" t="str">
        <f>C413</f>
        <v>Sub-fraction</v>
      </c>
      <c r="D448" s="2" t="s">
        <v>99</v>
      </c>
      <c r="E448" s="2" t="str">
        <f>E413</f>
        <v>Value</v>
      </c>
      <c r="F448" s="2" t="str">
        <f>F413</f>
        <v>Unit</v>
      </c>
      <c r="G448" s="4" t="str">
        <f>G413</f>
        <v>Equation</v>
      </c>
      <c r="H448" s="2" t="str">
        <f>H413</f>
        <v>Fraction</v>
      </c>
      <c r="I448" s="2" t="str">
        <f>I413</f>
        <v>Sub-fraction</v>
      </c>
      <c r="J448" s="2" t="str">
        <f>D448</f>
        <v>Name</v>
      </c>
      <c r="K448" s="2" t="str">
        <f>K413</f>
        <v>Value</v>
      </c>
      <c r="L448" s="2" t="str">
        <f>L413</f>
        <v>Unit</v>
      </c>
      <c r="M448" s="2" t="str">
        <f>M413</f>
        <v>Equation</v>
      </c>
      <c r="N448" s="14"/>
    </row>
    <row r="449" spans="1:14" ht="15" customHeight="1" x14ac:dyDescent="0.2">
      <c r="A449" s="14"/>
      <c r="B449" s="220" t="s">
        <v>14</v>
      </c>
      <c r="C449" s="6" t="str">
        <f t="shared" ref="C449:C463" si="78">C414</f>
        <v>PET</v>
      </c>
      <c r="D449" t="s">
        <v>589</v>
      </c>
      <c r="E449" s="33">
        <f>$C$372*E158</f>
        <v>101.0212992</v>
      </c>
      <c r="F449" t="s">
        <v>96</v>
      </c>
      <c r="G449" s="32" t="str">
        <f>$B$372&amp;" * "&amp;D158</f>
        <v>bottle_carbon * bottle_PET_COL_SOR_mass_mechanical</v>
      </c>
      <c r="H449" s="220" t="s">
        <v>14</v>
      </c>
      <c r="I449" s="6" t="str">
        <f>C449</f>
        <v>PET</v>
      </c>
      <c r="J449" t="s">
        <v>608</v>
      </c>
      <c r="K449" s="33">
        <f t="shared" ref="K449:K463" si="79">E414-E449</f>
        <v>41.26222079999998</v>
      </c>
      <c r="L449" t="s">
        <v>96</v>
      </c>
      <c r="M449" t="str">
        <f t="shared" ref="M449:M463" si="80">D414&amp;" - "&amp;D449</f>
        <v>bottle_PET_SS_COL_carbon_mechanical - bottle_PET_COL_SOR_carbon_mechanical</v>
      </c>
      <c r="N449" s="14" t="s">
        <v>1005</v>
      </c>
    </row>
    <row r="450" spans="1:14" ht="15" customHeight="1" x14ac:dyDescent="0.2">
      <c r="A450" s="14"/>
      <c r="B450" s="220"/>
      <c r="C450" s="6" t="str">
        <f t="shared" si="78"/>
        <v>PE</v>
      </c>
      <c r="D450" t="s">
        <v>590</v>
      </c>
      <c r="E450" s="33">
        <f>$C$372*E159</f>
        <v>26.8482816</v>
      </c>
      <c r="F450" t="str">
        <f>F449</f>
        <v>kg C</v>
      </c>
      <c r="G450" s="32" t="str">
        <f>$B$372&amp;" * "&amp;D159</f>
        <v>bottle_carbon * bottle_PE_COL_SOR_mass_mechanical</v>
      </c>
      <c r="H450" s="220"/>
      <c r="I450" s="6" t="str">
        <f t="shared" ref="I450:I463" si="81">C450</f>
        <v>PE</v>
      </c>
      <c r="J450" t="s">
        <v>609</v>
      </c>
      <c r="K450" s="33">
        <f t="shared" si="79"/>
        <v>16.4553984</v>
      </c>
      <c r="L450" t="str">
        <f>L449</f>
        <v>kg C</v>
      </c>
      <c r="M450" t="str">
        <f t="shared" si="80"/>
        <v>bottle_PE_SS_COL_carbon_mechanical - bottle_PE_COL_SOR_carbon_mechanical</v>
      </c>
      <c r="N450" s="14" t="s">
        <v>1005</v>
      </c>
    </row>
    <row r="451" spans="1:14" ht="15" customHeight="1" x14ac:dyDescent="0.2">
      <c r="A451" s="14"/>
      <c r="B451" s="220"/>
      <c r="C451" s="6" t="str">
        <f t="shared" si="78"/>
        <v>PP</v>
      </c>
      <c r="D451" t="s">
        <v>591</v>
      </c>
      <c r="E451" s="33">
        <f>$C$372*E160</f>
        <v>0</v>
      </c>
      <c r="F451" t="str">
        <f t="shared" ref="F451:F463" si="82">F450</f>
        <v>kg C</v>
      </c>
      <c r="G451" s="32" t="str">
        <f>$B$372&amp;" * "&amp;D160</f>
        <v>bottle_carbon * bottle_PP_COL_SOR_mass_mechanical</v>
      </c>
      <c r="H451" s="220"/>
      <c r="I451" s="6" t="str">
        <f t="shared" si="81"/>
        <v>PP</v>
      </c>
      <c r="J451" t="s">
        <v>610</v>
      </c>
      <c r="K451" s="33">
        <f t="shared" si="79"/>
        <v>0</v>
      </c>
      <c r="L451" t="str">
        <f t="shared" ref="L451:L463" si="83">L450</f>
        <v>kg C</v>
      </c>
      <c r="M451" t="str">
        <f t="shared" si="80"/>
        <v>bottle_PP_SS_COL_carbon_mechanical - bottle_PP_COL_SOR_carbon_mechanical</v>
      </c>
      <c r="N451" s="14" t="s">
        <v>1005</v>
      </c>
    </row>
    <row r="452" spans="1:14" ht="15" customHeight="1" x14ac:dyDescent="0.2">
      <c r="A452" s="14"/>
      <c r="B452" s="220"/>
      <c r="C452" s="6" t="str">
        <f t="shared" si="78"/>
        <v>PS</v>
      </c>
      <c r="D452" t="s">
        <v>592</v>
      </c>
      <c r="E452" s="33">
        <f>$C$372*E161</f>
        <v>0</v>
      </c>
      <c r="F452" t="str">
        <f t="shared" si="82"/>
        <v>kg C</v>
      </c>
      <c r="G452" s="32" t="str">
        <f>$B$372&amp;" * "&amp;D161</f>
        <v>bottle_carbon * bottle_PS_COL_SOR_mass_mechanical</v>
      </c>
      <c r="H452" s="220"/>
      <c r="I452" s="6" t="str">
        <f t="shared" si="81"/>
        <v>PS</v>
      </c>
      <c r="J452" t="s">
        <v>611</v>
      </c>
      <c r="K452" s="33">
        <f t="shared" si="79"/>
        <v>0</v>
      </c>
      <c r="L452" t="str">
        <f t="shared" si="83"/>
        <v>kg C</v>
      </c>
      <c r="M452" t="str">
        <f t="shared" si="80"/>
        <v>bottle_PS_SS_COL_carbon_mechanical - bottle_PS_COL_SOR_carbon_mechanical</v>
      </c>
      <c r="N452" s="14" t="s">
        <v>1005</v>
      </c>
    </row>
    <row r="453" spans="1:14" ht="15" customHeight="1" x14ac:dyDescent="0.2">
      <c r="A453" s="14"/>
      <c r="B453" s="220"/>
      <c r="C453" s="6" t="str">
        <f t="shared" si="78"/>
        <v>Other</v>
      </c>
      <c r="D453" t="s">
        <v>593</v>
      </c>
      <c r="E453" s="33">
        <f>$C$372*E162</f>
        <v>0</v>
      </c>
      <c r="F453" t="str">
        <f t="shared" si="82"/>
        <v>kg C</v>
      </c>
      <c r="G453" s="32" t="str">
        <f>$B$372&amp;" * "&amp;D162</f>
        <v>bottle_carbon * bottle_Oth_COL_SOR_mass_mechanical</v>
      </c>
      <c r="H453" s="220"/>
      <c r="I453" s="6" t="str">
        <f t="shared" si="81"/>
        <v>Other</v>
      </c>
      <c r="J453" t="s">
        <v>612</v>
      </c>
      <c r="K453" s="33">
        <f t="shared" si="79"/>
        <v>0</v>
      </c>
      <c r="L453" t="str">
        <f t="shared" si="83"/>
        <v>kg C</v>
      </c>
      <c r="M453" t="str">
        <f t="shared" si="80"/>
        <v>bottle_Oth_SS_COL_carbon_mechanical - bottle_Oth_COL_SOR_carbon_mechanical</v>
      </c>
      <c r="N453" s="14" t="s">
        <v>1005</v>
      </c>
    </row>
    <row r="454" spans="1:14" ht="15" customHeight="1" x14ac:dyDescent="0.2">
      <c r="A454" s="14"/>
      <c r="B454" s="220" t="s">
        <v>15</v>
      </c>
      <c r="C454" s="6" t="str">
        <f t="shared" si="78"/>
        <v>PET</v>
      </c>
      <c r="D454" t="s">
        <v>594</v>
      </c>
      <c r="E454" s="33">
        <f>$C$373*E163</f>
        <v>19.669953599999999</v>
      </c>
      <c r="F454" t="str">
        <f t="shared" si="82"/>
        <v>kg C</v>
      </c>
      <c r="G454" s="32" t="str">
        <f>$B$373&amp;" * "&amp;D163</f>
        <v>rigid_carbon * rigid_PET_COL_SOR_mass_mechanical</v>
      </c>
      <c r="H454" s="220" t="s">
        <v>15</v>
      </c>
      <c r="I454" s="6" t="str">
        <f t="shared" si="81"/>
        <v>PET</v>
      </c>
      <c r="J454" t="s">
        <v>613</v>
      </c>
      <c r="K454" s="33">
        <f t="shared" si="79"/>
        <v>8.0342064000000022</v>
      </c>
      <c r="L454" t="str">
        <f t="shared" si="83"/>
        <v>kg C</v>
      </c>
      <c r="M454" t="str">
        <f t="shared" si="80"/>
        <v>rigid_PET_SS_COL_carbon_mechanical - rigid_PET_COL_SOR_carbon_mechanical</v>
      </c>
      <c r="N454" s="14" t="s">
        <v>1005</v>
      </c>
    </row>
    <row r="455" spans="1:14" ht="15" customHeight="1" x14ac:dyDescent="0.2">
      <c r="A455" s="14"/>
      <c r="B455" s="220"/>
      <c r="C455" s="6" t="str">
        <f t="shared" si="78"/>
        <v>PE</v>
      </c>
      <c r="D455" t="s">
        <v>595</v>
      </c>
      <c r="E455" s="33">
        <f>$C$373*E164</f>
        <v>12.882434399999999</v>
      </c>
      <c r="F455" t="str">
        <f t="shared" si="82"/>
        <v>kg C</v>
      </c>
      <c r="G455" s="32" t="str">
        <f>$B$373&amp;" * "&amp;D164</f>
        <v>rigid_carbon * rigid_PE_COL_SOR_mass_mechanical</v>
      </c>
      <c r="H455" s="220"/>
      <c r="I455" s="6" t="str">
        <f t="shared" si="81"/>
        <v>PE</v>
      </c>
      <c r="J455" t="s">
        <v>614</v>
      </c>
      <c r="K455" s="33">
        <f t="shared" si="79"/>
        <v>7.895685600000002</v>
      </c>
      <c r="L455" t="str">
        <f t="shared" si="83"/>
        <v>kg C</v>
      </c>
      <c r="M455" t="str">
        <f t="shared" si="80"/>
        <v>rigid_PE_SS_COL_carbon_mechanical - rigid_PE_COL_SOR_carbon_mechanical</v>
      </c>
      <c r="N455" s="14" t="s">
        <v>1005</v>
      </c>
    </row>
    <row r="456" spans="1:14" ht="15" customHeight="1" x14ac:dyDescent="0.2">
      <c r="A456" s="14"/>
      <c r="B456" s="220"/>
      <c r="C456" s="6" t="str">
        <f t="shared" si="78"/>
        <v>PP</v>
      </c>
      <c r="D456" t="s">
        <v>596</v>
      </c>
      <c r="E456" s="33">
        <f>$C$373*E165</f>
        <v>40.725115199999998</v>
      </c>
      <c r="F456" t="str">
        <f t="shared" si="82"/>
        <v>kg C</v>
      </c>
      <c r="G456" s="32" t="str">
        <f>$B$373&amp;" * "&amp;D165</f>
        <v>rigid_carbon * rigid_PP_COL_SOR_mass_mechanical</v>
      </c>
      <c r="H456" s="220"/>
      <c r="I456" s="6" t="str">
        <f t="shared" si="81"/>
        <v>PP</v>
      </c>
      <c r="J456" t="s">
        <v>615</v>
      </c>
      <c r="K456" s="33">
        <f t="shared" si="79"/>
        <v>7.7571648000000053</v>
      </c>
      <c r="L456" t="str">
        <f t="shared" si="83"/>
        <v>kg C</v>
      </c>
      <c r="M456" t="str">
        <f t="shared" si="80"/>
        <v>rigid_PP_SS_COL_carbon_mechanical - rigid_PP_COL_SOR_carbon_mechanical</v>
      </c>
      <c r="N456" s="14" t="s">
        <v>1005</v>
      </c>
    </row>
    <row r="457" spans="1:14" ht="15" customHeight="1" x14ac:dyDescent="0.2">
      <c r="A457" s="14"/>
      <c r="B457" s="220"/>
      <c r="C457" s="6" t="str">
        <f t="shared" si="78"/>
        <v>PS</v>
      </c>
      <c r="D457" t="s">
        <v>597</v>
      </c>
      <c r="E457" s="33">
        <f>$C$373*E166</f>
        <v>5.0098355999999997</v>
      </c>
      <c r="F457" t="str">
        <f t="shared" si="82"/>
        <v>kg C</v>
      </c>
      <c r="G457" s="32" t="str">
        <f>$B$373&amp;" * "&amp;D166</f>
        <v>rigid_carbon * rigid_PS_COL_SOR_mass_mechanical</v>
      </c>
      <c r="H457" s="220"/>
      <c r="I457" s="6" t="str">
        <f t="shared" si="81"/>
        <v>PS</v>
      </c>
      <c r="J457" t="s">
        <v>616</v>
      </c>
      <c r="K457" s="33">
        <f t="shared" si="79"/>
        <v>1.9162044000000007</v>
      </c>
      <c r="L457" t="str">
        <f t="shared" si="83"/>
        <v>kg C</v>
      </c>
      <c r="M457" t="str">
        <f t="shared" si="80"/>
        <v>rigid_PS_SS_COL_carbon_mechanical - rigid_PS_COL_SOR_carbon_mechanical</v>
      </c>
      <c r="N457" s="14" t="s">
        <v>1005</v>
      </c>
    </row>
    <row r="458" spans="1:14" ht="15" customHeight="1" x14ac:dyDescent="0.2">
      <c r="A458" s="14"/>
      <c r="B458" s="220"/>
      <c r="C458" s="6" t="str">
        <f t="shared" si="78"/>
        <v>Other</v>
      </c>
      <c r="D458" t="s">
        <v>598</v>
      </c>
      <c r="E458" s="33">
        <f>$C$373*E167</f>
        <v>25.049177999999994</v>
      </c>
      <c r="F458" t="str">
        <f t="shared" si="82"/>
        <v>kg C</v>
      </c>
      <c r="G458" s="32" t="str">
        <f>$B$373&amp;" * "&amp;D167</f>
        <v>rigid_carbon * rigid_Oth_COL_SOR_mass_mechanical</v>
      </c>
      <c r="H458" s="220"/>
      <c r="I458" s="6" t="str">
        <f t="shared" si="81"/>
        <v>Other</v>
      </c>
      <c r="J458" t="s">
        <v>617</v>
      </c>
      <c r="K458" s="33">
        <f t="shared" si="79"/>
        <v>9.5810219999999937</v>
      </c>
      <c r="L458" t="str">
        <f t="shared" si="83"/>
        <v>kg C</v>
      </c>
      <c r="M458" t="str">
        <f t="shared" si="80"/>
        <v>rigid_Oth_SS_COL_carbon_mechanical - rigid_Oth_COL_SOR_carbon_mechanical</v>
      </c>
      <c r="N458" s="14" t="s">
        <v>1005</v>
      </c>
    </row>
    <row r="459" spans="1:14" ht="15" customHeight="1" x14ac:dyDescent="0.2">
      <c r="A459" s="14"/>
      <c r="B459" s="220" t="s">
        <v>42</v>
      </c>
      <c r="C459" s="6" t="str">
        <f t="shared" si="78"/>
        <v>PET</v>
      </c>
      <c r="D459" t="s">
        <v>599</v>
      </c>
      <c r="E459" s="33">
        <f>$C$374*E168</f>
        <v>0</v>
      </c>
      <c r="F459" t="str">
        <f t="shared" si="82"/>
        <v>kg C</v>
      </c>
      <c r="G459" s="32" t="str">
        <f>$B$374&amp;" * "&amp;D168</f>
        <v>soft_carbon * soft_PET_COL_SOR_mass_mechanical</v>
      </c>
      <c r="H459" s="220" t="s">
        <v>42</v>
      </c>
      <c r="I459" s="6" t="str">
        <f t="shared" si="81"/>
        <v>PET</v>
      </c>
      <c r="J459" t="s">
        <v>618</v>
      </c>
      <c r="K459" s="33">
        <f t="shared" si="79"/>
        <v>0</v>
      </c>
      <c r="L459" t="str">
        <f t="shared" si="83"/>
        <v>kg C</v>
      </c>
      <c r="M459" t="str">
        <f t="shared" si="80"/>
        <v>soft_PET_SS_COL_carbon_mechanical - soft_PET_COL_SOR_carbon_mechanical</v>
      </c>
      <c r="N459" s="14" t="s">
        <v>1005</v>
      </c>
    </row>
    <row r="460" spans="1:14" ht="15" customHeight="1" x14ac:dyDescent="0.2">
      <c r="A460" s="14"/>
      <c r="B460" s="220"/>
      <c r="C460" s="6" t="str">
        <f t="shared" si="78"/>
        <v>PE</v>
      </c>
      <c r="D460" t="s">
        <v>600</v>
      </c>
      <c r="E460" s="33">
        <f>$C$374*E169</f>
        <v>117.32436576000001</v>
      </c>
      <c r="F460" t="str">
        <f t="shared" si="82"/>
        <v>kg C</v>
      </c>
      <c r="G460" s="32" t="str">
        <f>$B$374&amp;" * "&amp;D169</f>
        <v>soft_carbon * soft_PE_COL_SOR_mass_mechanical</v>
      </c>
      <c r="H460" s="220"/>
      <c r="I460" s="6" t="str">
        <f t="shared" si="81"/>
        <v>PE</v>
      </c>
      <c r="J460" t="s">
        <v>619</v>
      </c>
      <c r="K460" s="33">
        <f t="shared" si="79"/>
        <v>71.908482239999984</v>
      </c>
      <c r="L460" t="str">
        <f t="shared" si="83"/>
        <v>kg C</v>
      </c>
      <c r="M460" t="str">
        <f t="shared" si="80"/>
        <v>soft_PE_SS_COL_carbon_mechanical - soft_PE_COL_SOR_carbon_mechanical</v>
      </c>
      <c r="N460" s="14" t="s">
        <v>1005</v>
      </c>
    </row>
    <row r="461" spans="1:14" ht="15" customHeight="1" x14ac:dyDescent="0.2">
      <c r="A461" s="14"/>
      <c r="B461" s="220"/>
      <c r="C461" s="6" t="str">
        <f t="shared" si="78"/>
        <v>PP</v>
      </c>
      <c r="D461" t="s">
        <v>601</v>
      </c>
      <c r="E461" s="33">
        <f>$C$374*E170</f>
        <v>0</v>
      </c>
      <c r="F461" t="str">
        <f t="shared" si="82"/>
        <v>kg C</v>
      </c>
      <c r="G461" s="32" t="str">
        <f>$B$374&amp;" * "&amp;D170</f>
        <v>soft_carbon * soft_PP_COL_SOR_mass_mechanical</v>
      </c>
      <c r="H461" s="220"/>
      <c r="I461" s="6" t="str">
        <f t="shared" si="81"/>
        <v>PP</v>
      </c>
      <c r="J461" t="s">
        <v>620</v>
      </c>
      <c r="K461" s="33">
        <f t="shared" si="79"/>
        <v>0</v>
      </c>
      <c r="L461" t="str">
        <f t="shared" si="83"/>
        <v>kg C</v>
      </c>
      <c r="M461" t="str">
        <f t="shared" si="80"/>
        <v>soft_PP_SS_COL_carbon_mechanical - soft_PP_COL_SOR_carbon_mechanical</v>
      </c>
      <c r="N461" s="14" t="s">
        <v>1005</v>
      </c>
    </row>
    <row r="462" spans="1:14" ht="15" customHeight="1" x14ac:dyDescent="0.2">
      <c r="A462" s="14"/>
      <c r="B462" s="220"/>
      <c r="C462" s="6" t="str">
        <f t="shared" si="78"/>
        <v>PS</v>
      </c>
      <c r="D462" t="s">
        <v>602</v>
      </c>
      <c r="E462" s="33">
        <f>$C$374*E171</f>
        <v>0</v>
      </c>
      <c r="F462" t="str">
        <f t="shared" si="82"/>
        <v>kg C</v>
      </c>
      <c r="G462" s="32" t="str">
        <f>$B$374&amp;" * "&amp;D171</f>
        <v>soft_carbon * soft_PS_COL_SOR_mass_mechanical</v>
      </c>
      <c r="H462" s="220"/>
      <c r="I462" s="6" t="str">
        <f t="shared" si="81"/>
        <v>PS</v>
      </c>
      <c r="J462" t="s">
        <v>621</v>
      </c>
      <c r="K462" s="33">
        <f t="shared" si="79"/>
        <v>0</v>
      </c>
      <c r="L462" t="str">
        <f t="shared" si="83"/>
        <v>kg C</v>
      </c>
      <c r="M462" t="str">
        <f t="shared" si="80"/>
        <v>soft_PS_SS_COL_carbon_mechanical - soft_PS_COL_SOR_carbon_mechanical</v>
      </c>
      <c r="N462" s="14" t="s">
        <v>1005</v>
      </c>
    </row>
    <row r="463" spans="1:14" ht="15" customHeight="1" x14ac:dyDescent="0.2">
      <c r="A463" s="14"/>
      <c r="B463" s="227"/>
      <c r="C463" s="60" t="str">
        <f t="shared" si="78"/>
        <v>Other</v>
      </c>
      <c r="D463" s="44" t="s">
        <v>603</v>
      </c>
      <c r="E463" s="62">
        <f>$C$374*E172</f>
        <v>45.626142240000007</v>
      </c>
      <c r="F463" s="44" t="str">
        <f t="shared" si="82"/>
        <v>kg C</v>
      </c>
      <c r="G463" s="61" t="str">
        <f>$B$374&amp;" * "&amp;D172</f>
        <v>soft_carbon * soft_Oth_COL_SOR_mass_mechanical</v>
      </c>
      <c r="H463" s="220"/>
      <c r="I463" s="6" t="str">
        <f t="shared" si="81"/>
        <v>Other</v>
      </c>
      <c r="J463" t="s">
        <v>622</v>
      </c>
      <c r="K463" s="33">
        <f t="shared" si="79"/>
        <v>17.451473760000013</v>
      </c>
      <c r="L463" t="str">
        <f t="shared" si="83"/>
        <v>kg C</v>
      </c>
      <c r="M463" t="str">
        <f t="shared" si="80"/>
        <v>soft_Oth_SS_COL_carbon_mechanical - soft_Oth_COL_SOR_carbon_mechanical</v>
      </c>
      <c r="N463" s="14" t="s">
        <v>1006</v>
      </c>
    </row>
    <row r="464" spans="1:14" ht="25" customHeight="1" x14ac:dyDescent="0.2">
      <c r="A464" s="14"/>
      <c r="B464" s="214" t="s">
        <v>60</v>
      </c>
      <c r="C464" s="214"/>
      <c r="D464" s="214"/>
      <c r="E464" s="214"/>
      <c r="F464" s="214"/>
      <c r="G464" s="214"/>
      <c r="H464" s="214"/>
      <c r="I464" s="214"/>
      <c r="J464" s="214"/>
      <c r="K464" s="214"/>
      <c r="L464" s="214"/>
      <c r="M464" s="214"/>
      <c r="N464" s="14" t="s">
        <v>1005</v>
      </c>
    </row>
    <row r="465" spans="1:14" ht="15" customHeight="1" x14ac:dyDescent="0.2">
      <c r="A465" s="14"/>
      <c r="B465" s="2" t="str">
        <f>B435</f>
        <v>Parameter</v>
      </c>
      <c r="C465" s="2" t="str">
        <f>C435</f>
        <v>Value</v>
      </c>
      <c r="D465" s="2" t="str">
        <f>D435</f>
        <v>Unit</v>
      </c>
      <c r="E465" s="2" t="str">
        <f>E435</f>
        <v>Description</v>
      </c>
      <c r="F465" s="2"/>
      <c r="G465" s="1"/>
      <c r="H465" s="2" t="str">
        <f>H435</f>
        <v>Parameter</v>
      </c>
      <c r="I465" s="2" t="str">
        <f>I435</f>
        <v>Value</v>
      </c>
      <c r="J465" s="2" t="str">
        <f>J435</f>
        <v>Unit</v>
      </c>
      <c r="K465" s="2" t="str">
        <f>K435</f>
        <v>Description</v>
      </c>
      <c r="L465" s="2"/>
      <c r="M465" s="2"/>
      <c r="N465" s="14"/>
    </row>
    <row r="466" spans="1:14" ht="15" customHeight="1" x14ac:dyDescent="0.2">
      <c r="A466" s="14"/>
      <c r="B466" t="s">
        <v>604</v>
      </c>
      <c r="C466" s="33">
        <f>SUM(E449:E453)</f>
        <v>127.86958079999999</v>
      </c>
      <c r="D466" t="s">
        <v>96</v>
      </c>
      <c r="E466" t="s">
        <v>1140</v>
      </c>
      <c r="G466" s="32"/>
      <c r="H466" t="s">
        <v>623</v>
      </c>
      <c r="I466" s="33">
        <f>SUM(K449:K453)</f>
        <v>57.71761919999998</v>
      </c>
      <c r="J466" t="s">
        <v>96</v>
      </c>
      <c r="K466" t="s">
        <v>1141</v>
      </c>
      <c r="N466" s="14"/>
    </row>
    <row r="467" spans="1:14" ht="15" customHeight="1" x14ac:dyDescent="0.2">
      <c r="A467" s="14"/>
      <c r="B467" t="s">
        <v>605</v>
      </c>
      <c r="C467" s="33">
        <f>SUM(E454:E458)</f>
        <v>103.3365168</v>
      </c>
      <c r="D467" t="s">
        <v>96</v>
      </c>
      <c r="E467" t="s">
        <v>1142</v>
      </c>
      <c r="G467" s="32"/>
      <c r="H467" t="s">
        <v>624</v>
      </c>
      <c r="I467" s="33">
        <f>SUM(K454:K458)</f>
        <v>35.184283200000003</v>
      </c>
      <c r="J467" t="s">
        <v>96</v>
      </c>
      <c r="K467" t="s">
        <v>1143</v>
      </c>
      <c r="N467" s="14" t="s">
        <v>1005</v>
      </c>
    </row>
    <row r="468" spans="1:14" ht="15" customHeight="1" thickBot="1" x14ac:dyDescent="0.25">
      <c r="A468" s="14"/>
      <c r="B468" s="8" t="s">
        <v>606</v>
      </c>
      <c r="C468" s="34">
        <f>SUM(E459:E463)</f>
        <v>162.95050800000001</v>
      </c>
      <c r="D468" s="8" t="s">
        <v>96</v>
      </c>
      <c r="E468" s="8" t="s">
        <v>1144</v>
      </c>
      <c r="F468" s="8"/>
      <c r="G468" s="87"/>
      <c r="H468" s="8" t="s">
        <v>625</v>
      </c>
      <c r="I468" s="34">
        <f>SUM(K459:K463)</f>
        <v>89.359955999999997</v>
      </c>
      <c r="J468" s="8" t="s">
        <v>96</v>
      </c>
      <c r="K468" s="8" t="s">
        <v>1145</v>
      </c>
      <c r="L468" s="8"/>
      <c r="M468" s="8"/>
      <c r="N468" s="14" t="s">
        <v>1005</v>
      </c>
    </row>
    <row r="469" spans="1:14" ht="15" customHeight="1" thickTop="1" x14ac:dyDescent="0.2">
      <c r="A469" s="14"/>
      <c r="B469" s="44" t="s">
        <v>607</v>
      </c>
      <c r="C469" s="62">
        <f>SUM(C466:C468)</f>
        <v>394.15660560000003</v>
      </c>
      <c r="D469" s="44" t="s">
        <v>96</v>
      </c>
      <c r="E469" s="44" t="s">
        <v>1149</v>
      </c>
      <c r="F469" s="44"/>
      <c r="G469" s="61"/>
      <c r="H469" s="44" t="s">
        <v>626</v>
      </c>
      <c r="I469" s="62">
        <f>SUM(I466:I468)</f>
        <v>182.26185839999999</v>
      </c>
      <c r="J469" s="44" t="s">
        <v>96</v>
      </c>
      <c r="K469" s="44" t="s">
        <v>1150</v>
      </c>
      <c r="L469" s="44"/>
      <c r="M469" s="44"/>
      <c r="N469" s="14"/>
    </row>
    <row r="470" spans="1:14" ht="15" customHeight="1" x14ac:dyDescent="0.2">
      <c r="A470" s="14"/>
      <c r="B470" s="125" t="s">
        <v>2704</v>
      </c>
      <c r="C470" s="125" t="str">
        <f>IF(C469+I469=C440,"true")</f>
        <v>true</v>
      </c>
      <c r="D470" s="125"/>
      <c r="E470" s="125"/>
      <c r="F470" s="125"/>
      <c r="G470" s="125"/>
      <c r="H470" s="125"/>
      <c r="I470" s="125"/>
      <c r="J470" s="125"/>
      <c r="K470" s="125"/>
      <c r="L470" s="125"/>
      <c r="M470" s="125"/>
      <c r="N470" s="14"/>
    </row>
    <row r="471" spans="1:14" ht="15" customHeight="1" x14ac:dyDescent="0.2">
      <c r="A471" s="14"/>
      <c r="B471" s="14"/>
      <c r="C471" s="14"/>
      <c r="D471" s="14"/>
      <c r="E471" s="14"/>
      <c r="F471" s="14"/>
      <c r="G471" s="14"/>
      <c r="H471" s="14"/>
      <c r="I471" s="14"/>
      <c r="J471" s="14"/>
      <c r="K471" s="14"/>
      <c r="L471" s="14"/>
      <c r="M471" s="14"/>
      <c r="N471" s="14"/>
    </row>
    <row r="472" spans="1:14" ht="15" customHeight="1" x14ac:dyDescent="0.2">
      <c r="A472" s="14"/>
      <c r="B472" s="14"/>
      <c r="C472" s="14"/>
      <c r="D472" s="14"/>
      <c r="E472" s="14"/>
      <c r="F472" s="14"/>
      <c r="G472" s="14"/>
      <c r="H472" s="14"/>
      <c r="I472" s="14"/>
      <c r="J472" s="14"/>
      <c r="K472" s="14"/>
      <c r="L472" s="14"/>
      <c r="M472" s="14"/>
      <c r="N472" s="14"/>
    </row>
    <row r="473" spans="1:14" ht="15" customHeight="1" x14ac:dyDescent="0.2">
      <c r="A473" s="14"/>
      <c r="B473" s="14"/>
      <c r="C473" s="14"/>
      <c r="D473" s="14"/>
      <c r="E473" s="14"/>
      <c r="F473" s="14"/>
      <c r="G473" s="14"/>
      <c r="H473" s="14"/>
      <c r="I473" s="14"/>
      <c r="J473" s="14"/>
      <c r="K473" s="14"/>
      <c r="L473" s="14"/>
      <c r="M473" s="14"/>
      <c r="N473" s="14"/>
    </row>
    <row r="474" spans="1:14" ht="25" customHeight="1" x14ac:dyDescent="0.2">
      <c r="A474" s="14"/>
      <c r="B474" s="214" t="s">
        <v>70</v>
      </c>
      <c r="C474" s="214"/>
      <c r="D474" s="214"/>
      <c r="E474" s="214"/>
      <c r="F474" s="214"/>
      <c r="G474" s="214"/>
      <c r="H474" s="214"/>
      <c r="I474" s="214"/>
      <c r="J474" s="214"/>
      <c r="K474" s="214"/>
      <c r="L474" s="214"/>
      <c r="M474" s="214"/>
      <c r="N474" s="14"/>
    </row>
    <row r="475" spans="1:14" ht="25" customHeight="1" x14ac:dyDescent="0.2">
      <c r="A475" s="14"/>
      <c r="B475" s="214" t="s">
        <v>80</v>
      </c>
      <c r="C475" s="214"/>
      <c r="D475" s="214"/>
      <c r="E475" s="214"/>
      <c r="F475" s="214"/>
      <c r="G475" s="214"/>
      <c r="H475" s="214"/>
      <c r="I475" s="214"/>
      <c r="J475" s="214"/>
      <c r="K475" s="214"/>
      <c r="L475" s="214"/>
      <c r="M475" s="214"/>
      <c r="N475" s="14"/>
    </row>
    <row r="476" spans="1:14" ht="25" customHeight="1" x14ac:dyDescent="0.2">
      <c r="A476" s="14"/>
      <c r="B476" s="214" t="s">
        <v>93</v>
      </c>
      <c r="C476" s="214"/>
      <c r="D476" s="214"/>
      <c r="E476" s="214"/>
      <c r="F476" s="214"/>
      <c r="G476" s="223"/>
      <c r="H476" s="214" t="s">
        <v>59</v>
      </c>
      <c r="I476" s="214"/>
      <c r="J476" s="214"/>
      <c r="K476" s="214"/>
      <c r="L476" s="214"/>
      <c r="M476" s="214"/>
      <c r="N476" s="14"/>
    </row>
    <row r="477" spans="1:14" ht="15" customHeight="1" x14ac:dyDescent="0.2">
      <c r="A477" s="14"/>
      <c r="B477" s="2" t="str">
        <f>B448</f>
        <v>Fraction</v>
      </c>
      <c r="C477" s="2" t="str">
        <f>C448</f>
        <v>Sub-fraction</v>
      </c>
      <c r="D477" s="2" t="s">
        <v>99</v>
      </c>
      <c r="E477" s="2" t="str">
        <f>E448</f>
        <v>Value</v>
      </c>
      <c r="F477" s="2" t="str">
        <f>F448</f>
        <v>Unit</v>
      </c>
      <c r="G477" s="4" t="str">
        <f>G448</f>
        <v>Equation</v>
      </c>
      <c r="H477" s="2" t="str">
        <f>H448</f>
        <v>Fraction</v>
      </c>
      <c r="I477" s="2" t="str">
        <f>I448</f>
        <v>Sub-fraction</v>
      </c>
      <c r="J477" s="2" t="str">
        <f>D477</f>
        <v>Name</v>
      </c>
      <c r="K477" s="2" t="str">
        <f>K448</f>
        <v>Value</v>
      </c>
      <c r="L477" s="2" t="str">
        <f>L448</f>
        <v>Unit</v>
      </c>
      <c r="M477" s="2" t="str">
        <f>M448</f>
        <v>Equation</v>
      </c>
      <c r="N477" s="14"/>
    </row>
    <row r="478" spans="1:14" ht="15" customHeight="1" x14ac:dyDescent="0.2">
      <c r="A478" s="14"/>
      <c r="B478" s="220" t="s">
        <v>14</v>
      </c>
      <c r="C478" s="6" t="str">
        <f>C449</f>
        <v>PET</v>
      </c>
      <c r="D478" t="s">
        <v>627</v>
      </c>
      <c r="E478">
        <f>$C$372*(E199)</f>
        <v>118.09532159999999</v>
      </c>
      <c r="F478" t="s">
        <v>96</v>
      </c>
      <c r="G478" s="32" t="str">
        <f>$B$372&amp;" * "&amp;D199</f>
        <v>bottle_carbon * bottle_PET_SOR_RE_mass_mechanical</v>
      </c>
      <c r="H478" s="220" t="s">
        <v>14</v>
      </c>
      <c r="I478" s="6" t="str">
        <f>C478</f>
        <v>PET</v>
      </c>
      <c r="J478" t="s">
        <v>646</v>
      </c>
      <c r="K478" s="33">
        <f>(E449+K449)-E478</f>
        <v>24.18819839999999</v>
      </c>
      <c r="L478" t="s">
        <v>96</v>
      </c>
      <c r="M478" t="str">
        <f>"("&amp;D449&amp;" + "&amp;J449&amp;") - "&amp;D478</f>
        <v>(bottle_PET_COL_SOR_carbon_mechanical + bottle_PET_COL_EXP_carbon_mechanical) - bottle_PET_SOR_RE_carbon_mechanical</v>
      </c>
      <c r="N478" s="14" t="s">
        <v>1005</v>
      </c>
    </row>
    <row r="479" spans="1:14" ht="15" customHeight="1" x14ac:dyDescent="0.2">
      <c r="A479" s="14"/>
      <c r="B479" s="220"/>
      <c r="C479" s="6" t="str">
        <f t="shared" ref="C479:C492" si="84">C450</f>
        <v>PE</v>
      </c>
      <c r="D479" t="s">
        <v>628</v>
      </c>
      <c r="E479">
        <f>$C$372*(E200)</f>
        <v>38.1072384</v>
      </c>
      <c r="F479" t="str">
        <f t="shared" ref="F479:F492" si="85">F478</f>
        <v>kg C</v>
      </c>
      <c r="G479" s="32" t="str">
        <f>$B$372&amp;" * "&amp;D200</f>
        <v>bottle_carbon * bottle_PE_SOR_RE_mass_mechanical</v>
      </c>
      <c r="H479" s="220"/>
      <c r="I479" s="6" t="str">
        <f t="shared" ref="I479:I492" si="86">C479</f>
        <v>PE</v>
      </c>
      <c r="J479" t="s">
        <v>647</v>
      </c>
      <c r="K479" s="33">
        <f t="shared" ref="K479:K492" si="87">(E450+K450)-E479</f>
        <v>5.1964416</v>
      </c>
      <c r="L479" t="str">
        <f t="shared" ref="L479:L492" si="88">L478</f>
        <v>kg C</v>
      </c>
      <c r="M479" t="str">
        <f t="shared" ref="M479:M492" si="89">"("&amp;D450&amp;" + "&amp;J450&amp;") - "&amp;D479</f>
        <v>(bottle_PE_COL_SOR_carbon_mechanical + bottle_PE_COL_EXP_carbon_mechanical) - bottle_PE_SOR_RE_carbon_mechanical</v>
      </c>
      <c r="N479" s="14" t="s">
        <v>1005</v>
      </c>
    </row>
    <row r="480" spans="1:14" ht="15" customHeight="1" x14ac:dyDescent="0.2">
      <c r="A480" s="14"/>
      <c r="B480" s="220"/>
      <c r="C480" s="6" t="str">
        <f t="shared" si="84"/>
        <v>PP</v>
      </c>
      <c r="D480" t="s">
        <v>629</v>
      </c>
      <c r="E480">
        <f>$C$372*(E201)</f>
        <v>0</v>
      </c>
      <c r="F480" t="str">
        <f t="shared" si="85"/>
        <v>kg C</v>
      </c>
      <c r="G480" s="32" t="str">
        <f>$B$372&amp;" * "&amp;D201</f>
        <v>bottle_carbon * bottle_PP_SOR_RE_mass_mechanical</v>
      </c>
      <c r="H480" s="220"/>
      <c r="I480" s="6" t="str">
        <f t="shared" si="86"/>
        <v>PP</v>
      </c>
      <c r="J480" t="s">
        <v>648</v>
      </c>
      <c r="K480" s="33">
        <f t="shared" si="87"/>
        <v>0</v>
      </c>
      <c r="L480" t="str">
        <f t="shared" si="88"/>
        <v>kg C</v>
      </c>
      <c r="M480" t="str">
        <f t="shared" si="89"/>
        <v>(bottle_PP_COL_SOR_carbon_mechanical + bottle_PP_COL_EXP_carbon_mechanical) - bottle_PP_SOR_RE_carbon_mechanical</v>
      </c>
      <c r="N480" s="14" t="s">
        <v>1005</v>
      </c>
    </row>
    <row r="481" spans="1:14" ht="15" customHeight="1" x14ac:dyDescent="0.2">
      <c r="A481" s="14"/>
      <c r="B481" s="220"/>
      <c r="C481" s="6" t="str">
        <f t="shared" si="84"/>
        <v>PS</v>
      </c>
      <c r="D481" t="s">
        <v>630</v>
      </c>
      <c r="E481">
        <f>$C$372*(E202)</f>
        <v>0</v>
      </c>
      <c r="F481" t="str">
        <f t="shared" si="85"/>
        <v>kg C</v>
      </c>
      <c r="G481" s="32" t="str">
        <f>$B$372&amp;" * "&amp;D202</f>
        <v>bottle_carbon * bottle_PS_SOR_RE_mass_mechanical</v>
      </c>
      <c r="H481" s="220"/>
      <c r="I481" s="6" t="str">
        <f t="shared" si="86"/>
        <v>PS</v>
      </c>
      <c r="J481" t="s">
        <v>649</v>
      </c>
      <c r="K481" s="33">
        <f t="shared" si="87"/>
        <v>0</v>
      </c>
      <c r="L481" t="str">
        <f t="shared" si="88"/>
        <v>kg C</v>
      </c>
      <c r="M481" t="str">
        <f t="shared" si="89"/>
        <v>(bottle_PS_COL_SOR_carbon_mechanical + bottle_PS_COL_EXP_carbon_mechanical) - bottle_PS_SOR_RE_carbon_mechanical</v>
      </c>
      <c r="N481" s="14" t="s">
        <v>1005</v>
      </c>
    </row>
    <row r="482" spans="1:14" ht="15" customHeight="1" x14ac:dyDescent="0.2">
      <c r="A482" s="14"/>
      <c r="B482" s="220"/>
      <c r="C482" s="6" t="str">
        <f t="shared" si="84"/>
        <v>Other</v>
      </c>
      <c r="D482" t="s">
        <v>631</v>
      </c>
      <c r="E482">
        <f>$C$372*(E203)</f>
        <v>0</v>
      </c>
      <c r="F482" t="str">
        <f t="shared" si="85"/>
        <v>kg C</v>
      </c>
      <c r="G482" s="32" t="str">
        <f>$B$372&amp;" * "&amp;D203</f>
        <v>bottle_carbon * bottle_Oth_SOR_RE_mass_mechanical</v>
      </c>
      <c r="H482" s="220"/>
      <c r="I482" s="6" t="str">
        <f t="shared" si="86"/>
        <v>Other</v>
      </c>
      <c r="J482" t="s">
        <v>650</v>
      </c>
      <c r="K482" s="33">
        <f t="shared" si="87"/>
        <v>0</v>
      </c>
      <c r="L482" t="str">
        <f t="shared" si="88"/>
        <v>kg C</v>
      </c>
      <c r="M482" t="str">
        <f t="shared" si="89"/>
        <v>(bottle_Oth_COL_SOR_carbon_mechanical + bottle_Oth_COL_EXP_carbon_mechanical) - bottle_Oth_SOR_RE_carbon_mechanical</v>
      </c>
      <c r="N482" s="14" t="s">
        <v>1006</v>
      </c>
    </row>
    <row r="483" spans="1:14" ht="15" customHeight="1" x14ac:dyDescent="0.2">
      <c r="A483" s="14"/>
      <c r="B483" s="220" t="s">
        <v>15</v>
      </c>
      <c r="C483" s="6" t="str">
        <f t="shared" si="84"/>
        <v>PET</v>
      </c>
      <c r="D483" t="s">
        <v>632</v>
      </c>
      <c r="E483">
        <f>$C$373*(E204)</f>
        <v>22.994452800000001</v>
      </c>
      <c r="F483" t="str">
        <f t="shared" si="85"/>
        <v>kg C</v>
      </c>
      <c r="G483" s="32" t="str">
        <f>$B$373&amp;" * "&amp;D204</f>
        <v>rigid_carbon * rigid_PET_SOR_RE_mass_mechanical</v>
      </c>
      <c r="H483" s="220" t="s">
        <v>15</v>
      </c>
      <c r="I483" s="6" t="str">
        <f t="shared" si="86"/>
        <v>PET</v>
      </c>
      <c r="J483" t="s">
        <v>651</v>
      </c>
      <c r="K483" s="33">
        <f t="shared" si="87"/>
        <v>4.7097072000000004</v>
      </c>
      <c r="L483" t="str">
        <f t="shared" si="88"/>
        <v>kg C</v>
      </c>
      <c r="M483" t="str">
        <f t="shared" si="89"/>
        <v>(rigid_PET_COL_SOR_carbon_mechanical + rigid_PET_COL_EXP_carbon_mechanical) - rigid_PET_SOR_RE_carbon_mechanical</v>
      </c>
      <c r="N483" s="14" t="s">
        <v>1005</v>
      </c>
    </row>
    <row r="484" spans="1:14" ht="15" customHeight="1" x14ac:dyDescent="0.2">
      <c r="A484" s="14"/>
      <c r="B484" s="220"/>
      <c r="C484" s="6" t="str">
        <f t="shared" si="84"/>
        <v>PE</v>
      </c>
      <c r="D484" t="s">
        <v>633</v>
      </c>
      <c r="E484">
        <f>$C$373*(E205)</f>
        <v>18.284745600000001</v>
      </c>
      <c r="F484" t="str">
        <f t="shared" si="85"/>
        <v>kg C</v>
      </c>
      <c r="G484" s="32" t="str">
        <f>$B$373&amp;" * "&amp;D205</f>
        <v>rigid_carbon * rigid_PE_SOR_RE_mass_mechanical</v>
      </c>
      <c r="H484" s="220"/>
      <c r="I484" s="6" t="str">
        <f t="shared" si="86"/>
        <v>PE</v>
      </c>
      <c r="J484" t="s">
        <v>652</v>
      </c>
      <c r="K484" s="33">
        <f t="shared" si="87"/>
        <v>2.4933744000000004</v>
      </c>
      <c r="L484" t="str">
        <f t="shared" si="88"/>
        <v>kg C</v>
      </c>
      <c r="M484" t="str">
        <f t="shared" si="89"/>
        <v>(rigid_PE_COL_SOR_carbon_mechanical + rigid_PE_COL_EXP_carbon_mechanical) - rigid_PE_SOR_RE_carbon_mechanical</v>
      </c>
      <c r="N484" s="14" t="s">
        <v>1005</v>
      </c>
    </row>
    <row r="485" spans="1:14" ht="15" customHeight="1" x14ac:dyDescent="0.2">
      <c r="A485" s="14"/>
      <c r="B485" s="220"/>
      <c r="C485" s="6" t="str">
        <f t="shared" si="84"/>
        <v>PP</v>
      </c>
      <c r="D485" t="s">
        <v>634</v>
      </c>
      <c r="E485">
        <f>$C$373*(E206)</f>
        <v>33.937595999999999</v>
      </c>
      <c r="F485" t="str">
        <f t="shared" si="85"/>
        <v>kg C</v>
      </c>
      <c r="G485" s="32" t="str">
        <f>$B$373&amp;" * "&amp;D206</f>
        <v>rigid_carbon * rigid_PP_SOR_RE_mass_mechanical</v>
      </c>
      <c r="H485" s="220"/>
      <c r="I485" s="6" t="str">
        <f t="shared" si="86"/>
        <v>PP</v>
      </c>
      <c r="J485" t="s">
        <v>653</v>
      </c>
      <c r="K485" s="33">
        <f t="shared" si="87"/>
        <v>14.544684000000004</v>
      </c>
      <c r="L485" t="str">
        <f t="shared" si="88"/>
        <v>kg C</v>
      </c>
      <c r="M485" t="str">
        <f t="shared" si="89"/>
        <v>(rigid_PP_COL_SOR_carbon_mechanical + rigid_PP_COL_EXP_carbon_mechanical) - rigid_PP_SOR_RE_carbon_mechanical</v>
      </c>
      <c r="N485" s="14" t="s">
        <v>1005</v>
      </c>
    </row>
    <row r="486" spans="1:14" ht="15" customHeight="1" x14ac:dyDescent="0.2">
      <c r="A486" s="14"/>
      <c r="B486" s="220"/>
      <c r="C486" s="6" t="str">
        <f t="shared" si="84"/>
        <v>PS</v>
      </c>
      <c r="D486" t="s">
        <v>635</v>
      </c>
      <c r="E486">
        <f>$C$373*(E207)</f>
        <v>4.0245679320000001</v>
      </c>
      <c r="F486" t="str">
        <f t="shared" si="85"/>
        <v>kg C</v>
      </c>
      <c r="G486" s="32" t="str">
        <f>$B$373&amp;" * "&amp;D207</f>
        <v>rigid_carbon * rigid_PS_SOR_RE_mass_mechanical</v>
      </c>
      <c r="H486" s="220"/>
      <c r="I486" s="6" t="str">
        <f t="shared" si="86"/>
        <v>PS</v>
      </c>
      <c r="J486" t="s">
        <v>654</v>
      </c>
      <c r="K486" s="33">
        <f t="shared" si="87"/>
        <v>2.9014720680000003</v>
      </c>
      <c r="L486" t="str">
        <f t="shared" si="88"/>
        <v>kg C</v>
      </c>
      <c r="M486" t="str">
        <f t="shared" si="89"/>
        <v>(rigid_PS_COL_SOR_carbon_mechanical + rigid_PS_COL_EXP_carbon_mechanical) - rigid_PS_SOR_RE_carbon_mechanical</v>
      </c>
      <c r="N486" s="14" t="s">
        <v>1006</v>
      </c>
    </row>
    <row r="487" spans="1:14" ht="15" customHeight="1" x14ac:dyDescent="0.2">
      <c r="A487" s="14"/>
      <c r="B487" s="220"/>
      <c r="C487" s="6" t="str">
        <f t="shared" si="84"/>
        <v>Other</v>
      </c>
      <c r="D487" t="s">
        <v>636</v>
      </c>
      <c r="E487">
        <f>$C$373*(E208)</f>
        <v>20.122839659999993</v>
      </c>
      <c r="F487" t="str">
        <f t="shared" si="85"/>
        <v>kg C</v>
      </c>
      <c r="G487" s="32" t="str">
        <f>$B$373&amp;" * "&amp;D208</f>
        <v>rigid_carbon * rigid_Oth_SOR_RE_mass_mechanical</v>
      </c>
      <c r="H487" s="220"/>
      <c r="I487" s="6" t="str">
        <f t="shared" si="86"/>
        <v>Other</v>
      </c>
      <c r="J487" t="s">
        <v>655</v>
      </c>
      <c r="K487" s="33">
        <f t="shared" si="87"/>
        <v>14.507360339999995</v>
      </c>
      <c r="L487" t="str">
        <f t="shared" si="88"/>
        <v>kg C</v>
      </c>
      <c r="M487" t="str">
        <f t="shared" si="89"/>
        <v>(rigid_Oth_COL_SOR_carbon_mechanical + rigid_Oth_COL_EXP_carbon_mechanical) - rigid_Oth_SOR_RE_carbon_mechanical</v>
      </c>
      <c r="N487" s="14" t="s">
        <v>1005</v>
      </c>
    </row>
    <row r="488" spans="1:14" ht="15" customHeight="1" x14ac:dyDescent="0.2">
      <c r="A488" s="14"/>
      <c r="B488" s="220" t="s">
        <v>42</v>
      </c>
      <c r="C488" s="6" t="str">
        <f t="shared" si="84"/>
        <v>PET</v>
      </c>
      <c r="D488" t="s">
        <v>637</v>
      </c>
      <c r="E488">
        <f>$C$374*(E209)</f>
        <v>0</v>
      </c>
      <c r="F488" t="str">
        <f t="shared" si="85"/>
        <v>kg C</v>
      </c>
      <c r="G488" s="32" t="str">
        <f>$B$374&amp;" * "&amp;D209</f>
        <v>soft_carbon * soft_PET_SOR_RE_mass_mechanical</v>
      </c>
      <c r="H488" s="220" t="s">
        <v>42</v>
      </c>
      <c r="I488" s="6" t="str">
        <f t="shared" si="86"/>
        <v>PET</v>
      </c>
      <c r="J488" t="s">
        <v>656</v>
      </c>
      <c r="K488" s="33">
        <f t="shared" si="87"/>
        <v>0</v>
      </c>
      <c r="L488" t="str">
        <f t="shared" si="88"/>
        <v>kg C</v>
      </c>
      <c r="M488" t="str">
        <f t="shared" si="89"/>
        <v>(soft_PET_COL_SOR_carbon_mechanical + soft_PET_COL_EXP_carbon_mechanical) - soft_PET_SOR_RE_carbon_mechanical</v>
      </c>
      <c r="N488" s="14" t="s">
        <v>1005</v>
      </c>
    </row>
    <row r="489" spans="1:14" ht="15" customHeight="1" x14ac:dyDescent="0.2">
      <c r="A489" s="14"/>
      <c r="B489" s="220"/>
      <c r="C489" s="6" t="str">
        <f t="shared" si="84"/>
        <v>PE</v>
      </c>
      <c r="D489" t="s">
        <v>638</v>
      </c>
      <c r="E489">
        <f>$C$374*(E210)</f>
        <v>166.52490624000001</v>
      </c>
      <c r="F489" t="str">
        <f t="shared" si="85"/>
        <v>kg C</v>
      </c>
      <c r="G489" s="32" t="str">
        <f>$B$374&amp;" * "&amp;D210</f>
        <v>soft_carbon * soft_PE_SOR_RE_mass_mechanical</v>
      </c>
      <c r="H489" s="220"/>
      <c r="I489" s="6" t="str">
        <f t="shared" si="86"/>
        <v>PE</v>
      </c>
      <c r="J489" t="s">
        <v>657</v>
      </c>
      <c r="K489" s="33">
        <f t="shared" si="87"/>
        <v>22.707941759999983</v>
      </c>
      <c r="L489" t="str">
        <f t="shared" si="88"/>
        <v>kg C</v>
      </c>
      <c r="M489" t="str">
        <f t="shared" si="89"/>
        <v>(soft_PE_COL_SOR_carbon_mechanical + soft_PE_COL_EXP_carbon_mechanical) - soft_PE_SOR_RE_carbon_mechanical</v>
      </c>
      <c r="N489" s="14" t="s">
        <v>1006</v>
      </c>
    </row>
    <row r="490" spans="1:14" ht="15" customHeight="1" x14ac:dyDescent="0.2">
      <c r="A490" s="14"/>
      <c r="B490" s="220"/>
      <c r="C490" s="6" t="str">
        <f t="shared" si="84"/>
        <v>PP</v>
      </c>
      <c r="D490" t="s">
        <v>639</v>
      </c>
      <c r="E490">
        <f>$C$374*(E211)</f>
        <v>0</v>
      </c>
      <c r="F490" t="str">
        <f t="shared" si="85"/>
        <v>kg C</v>
      </c>
      <c r="G490" s="32" t="str">
        <f>$B$374&amp;" * "&amp;D211</f>
        <v>soft_carbon * soft_PP_SOR_RE_mass_mechanical</v>
      </c>
      <c r="H490" s="220"/>
      <c r="I490" s="6" t="str">
        <f t="shared" si="86"/>
        <v>PP</v>
      </c>
      <c r="J490" t="s">
        <v>658</v>
      </c>
      <c r="K490" s="33">
        <f t="shared" si="87"/>
        <v>0</v>
      </c>
      <c r="L490" t="str">
        <f t="shared" si="88"/>
        <v>kg C</v>
      </c>
      <c r="M490" t="str">
        <f t="shared" si="89"/>
        <v>(soft_PP_COL_SOR_carbon_mechanical + soft_PP_COL_EXP_carbon_mechanical) - soft_PP_SOR_RE_carbon_mechanical</v>
      </c>
      <c r="N490" s="14" t="s">
        <v>1005</v>
      </c>
    </row>
    <row r="491" spans="1:14" ht="15" customHeight="1" x14ac:dyDescent="0.2">
      <c r="A491" s="14"/>
      <c r="B491" s="220"/>
      <c r="C491" s="6" t="str">
        <f t="shared" si="84"/>
        <v>PS</v>
      </c>
      <c r="D491" t="s">
        <v>640</v>
      </c>
      <c r="E491">
        <f>$C$374*(E212)</f>
        <v>0</v>
      </c>
      <c r="F491" t="str">
        <f t="shared" si="85"/>
        <v>kg C</v>
      </c>
      <c r="G491" s="32" t="str">
        <f>$B$374&amp;" * "&amp;D212</f>
        <v>soft_carbon * soft_PS_SOR_RE_mass_mechanical</v>
      </c>
      <c r="H491" s="220"/>
      <c r="I491" s="6" t="str">
        <f t="shared" si="86"/>
        <v>PS</v>
      </c>
      <c r="J491" t="s">
        <v>659</v>
      </c>
      <c r="K491" s="33">
        <f t="shared" si="87"/>
        <v>0</v>
      </c>
      <c r="L491" t="str">
        <f t="shared" si="88"/>
        <v>kg C</v>
      </c>
      <c r="M491" t="str">
        <f t="shared" si="89"/>
        <v>(soft_PS_COL_SOR_carbon_mechanical + soft_PS_COL_EXP_carbon_mechanical) - soft_PS_SOR_RE_carbon_mechanical</v>
      </c>
      <c r="N491" s="14" t="s">
        <v>1005</v>
      </c>
    </row>
    <row r="492" spans="1:14" ht="15" customHeight="1" x14ac:dyDescent="0.2">
      <c r="A492" s="14"/>
      <c r="B492" s="227"/>
      <c r="C492" s="60" t="str">
        <f t="shared" si="84"/>
        <v>Other</v>
      </c>
      <c r="D492" s="44" t="s">
        <v>641</v>
      </c>
      <c r="E492" s="44">
        <f>$C$374*(E213)</f>
        <v>36.653000932800005</v>
      </c>
      <c r="F492" s="44" t="str">
        <f t="shared" si="85"/>
        <v>kg C</v>
      </c>
      <c r="G492" s="61" t="str">
        <f>$B$374&amp;" * "&amp;D213</f>
        <v>soft_carbon * soft_Oth_SOR_RE_mass_mechanical</v>
      </c>
      <c r="H492" s="220"/>
      <c r="I492" s="6" t="str">
        <f t="shared" si="86"/>
        <v>Other</v>
      </c>
      <c r="J492" t="s">
        <v>660</v>
      </c>
      <c r="K492" s="33">
        <f t="shared" si="87"/>
        <v>26.424615067200016</v>
      </c>
      <c r="L492" t="str">
        <f t="shared" si="88"/>
        <v>kg C</v>
      </c>
      <c r="M492" t="str">
        <f t="shared" si="89"/>
        <v>(soft_Oth_COL_SOR_carbon_mechanical + soft_Oth_COL_EXP_carbon_mechanical) - soft_Oth_SOR_RE_carbon_mechanical</v>
      </c>
      <c r="N492" s="14" t="s">
        <v>1005</v>
      </c>
    </row>
    <row r="493" spans="1:14" ht="25" customHeight="1" x14ac:dyDescent="0.2">
      <c r="A493" s="14"/>
      <c r="B493" s="214" t="s">
        <v>81</v>
      </c>
      <c r="C493" s="214"/>
      <c r="D493" s="214"/>
      <c r="E493" s="214"/>
      <c r="F493" s="214"/>
      <c r="G493" s="214"/>
      <c r="H493" s="214"/>
      <c r="I493" s="214"/>
      <c r="J493" s="214"/>
      <c r="K493" s="214"/>
      <c r="L493" s="214"/>
      <c r="M493" s="214"/>
      <c r="N493" s="14"/>
    </row>
    <row r="494" spans="1:14" ht="15" customHeight="1" x14ac:dyDescent="0.2">
      <c r="A494" s="14"/>
      <c r="B494" s="2" t="str">
        <f>B465</f>
        <v>Parameter</v>
      </c>
      <c r="C494" s="2" t="str">
        <f>C465</f>
        <v>Value</v>
      </c>
      <c r="D494" s="2" t="str">
        <f>D465</f>
        <v>Unit</v>
      </c>
      <c r="E494" s="2" t="str">
        <f>E465</f>
        <v>Description</v>
      </c>
      <c r="F494" s="2"/>
      <c r="G494" s="1"/>
      <c r="H494" s="2" t="str">
        <f>H465</f>
        <v>Parameter</v>
      </c>
      <c r="I494" s="2" t="str">
        <f>I465</f>
        <v>Value</v>
      </c>
      <c r="J494" s="2" t="str">
        <f>J465</f>
        <v>Unit</v>
      </c>
      <c r="K494" s="2" t="str">
        <f>K465</f>
        <v>Description</v>
      </c>
      <c r="L494" s="2"/>
      <c r="M494" s="2"/>
      <c r="N494" s="14"/>
    </row>
    <row r="495" spans="1:14" ht="15" customHeight="1" x14ac:dyDescent="0.2">
      <c r="A495" s="14"/>
      <c r="B495" t="s">
        <v>642</v>
      </c>
      <c r="C495">
        <f>SUM(E478:E482)</f>
        <v>156.20256000000001</v>
      </c>
      <c r="D495" t="s">
        <v>96</v>
      </c>
      <c r="E495" t="s">
        <v>1146</v>
      </c>
      <c r="G495" s="32"/>
      <c r="H495" t="s">
        <v>661</v>
      </c>
      <c r="I495" s="33">
        <f>SUM(K478:K482)</f>
        <v>29.38463999999999</v>
      </c>
      <c r="J495" t="s">
        <v>96</v>
      </c>
      <c r="K495" t="s">
        <v>1120</v>
      </c>
      <c r="N495" s="14"/>
    </row>
    <row r="496" spans="1:14" ht="15" customHeight="1" x14ac:dyDescent="0.2">
      <c r="A496" s="14"/>
      <c r="B496" t="s">
        <v>643</v>
      </c>
      <c r="C496">
        <f>SUM(E483:E487)</f>
        <v>99.364201991999991</v>
      </c>
      <c r="D496" t="str">
        <f>D495</f>
        <v>kg C</v>
      </c>
      <c r="E496" t="s">
        <v>1147</v>
      </c>
      <c r="G496" s="32"/>
      <c r="H496" t="s">
        <v>662</v>
      </c>
      <c r="I496" s="33">
        <f>SUM(K483:K487)</f>
        <v>39.156598008000003</v>
      </c>
      <c r="J496" t="str">
        <f>J495</f>
        <v>kg C</v>
      </c>
      <c r="K496" t="s">
        <v>1121</v>
      </c>
      <c r="N496" s="14"/>
    </row>
    <row r="497" spans="1:14" ht="15" customHeight="1" thickBot="1" x14ac:dyDescent="0.25">
      <c r="A497" s="14"/>
      <c r="B497" s="8" t="s">
        <v>644</v>
      </c>
      <c r="C497" s="8">
        <f>SUM(E488:E492)</f>
        <v>203.17790717280002</v>
      </c>
      <c r="D497" s="8" t="str">
        <f>D496</f>
        <v>kg C</v>
      </c>
      <c r="E497" s="8" t="s">
        <v>1148</v>
      </c>
      <c r="F497" s="8"/>
      <c r="G497" s="87"/>
      <c r="H497" s="8" t="s">
        <v>663</v>
      </c>
      <c r="I497" s="34">
        <f>SUM(K488:K492)</f>
        <v>49.132556827199998</v>
      </c>
      <c r="J497" s="8" t="str">
        <f>J496</f>
        <v>kg C</v>
      </c>
      <c r="K497" s="8" t="s">
        <v>1122</v>
      </c>
      <c r="L497" s="8"/>
      <c r="M497" s="8"/>
      <c r="N497" s="14"/>
    </row>
    <row r="498" spans="1:14" ht="15" customHeight="1" thickTop="1" x14ac:dyDescent="0.2">
      <c r="A498" s="14"/>
      <c r="B498" s="44" t="s">
        <v>645</v>
      </c>
      <c r="C498" s="44">
        <f>SUM(C495:C497)</f>
        <v>458.74466916480003</v>
      </c>
      <c r="D498" s="44" t="str">
        <f>D497</f>
        <v>kg C</v>
      </c>
      <c r="E498" s="44" t="s">
        <v>1152</v>
      </c>
      <c r="F498" s="44"/>
      <c r="G498" s="61"/>
      <c r="H498" s="44" t="s">
        <v>664</v>
      </c>
      <c r="I498" s="62">
        <f>SUM(I495:I497)</f>
        <v>117.6737948352</v>
      </c>
      <c r="J498" s="44" t="str">
        <f>J497</f>
        <v>kg C</v>
      </c>
      <c r="K498" s="44" t="s">
        <v>1151</v>
      </c>
      <c r="L498" s="44"/>
      <c r="M498" s="44"/>
      <c r="N498" s="14"/>
    </row>
    <row r="499" spans="1:14" ht="15" customHeight="1" x14ac:dyDescent="0.2">
      <c r="A499" s="14"/>
      <c r="B499" s="125" t="s">
        <v>2704</v>
      </c>
      <c r="C499" s="125" t="str">
        <f>IF(C498+I498=C469+I469,"true")</f>
        <v>true</v>
      </c>
      <c r="D499" s="125"/>
      <c r="E499" s="125"/>
      <c r="F499" s="125"/>
      <c r="G499" s="125"/>
      <c r="H499" s="125"/>
      <c r="I499" s="125"/>
      <c r="J499" s="125"/>
      <c r="K499" s="125"/>
      <c r="L499" s="125"/>
      <c r="M499" s="125"/>
      <c r="N499" s="14"/>
    </row>
    <row r="500" spans="1:14" ht="15" customHeight="1" x14ac:dyDescent="0.2">
      <c r="A500" s="14"/>
      <c r="B500" s="14"/>
      <c r="C500" s="14"/>
      <c r="D500" s="14"/>
      <c r="E500" s="14"/>
      <c r="F500" s="14"/>
      <c r="G500" s="14"/>
      <c r="H500" s="14"/>
      <c r="I500" s="14"/>
      <c r="J500" s="14"/>
      <c r="K500" s="14"/>
      <c r="L500" s="14"/>
      <c r="M500" s="14"/>
      <c r="N500" s="14"/>
    </row>
    <row r="501" spans="1:14" ht="15" customHeight="1" x14ac:dyDescent="0.2">
      <c r="A501" s="14"/>
      <c r="B501" s="14"/>
      <c r="C501" s="14"/>
      <c r="D501" s="14"/>
      <c r="E501" s="14"/>
      <c r="F501" s="14"/>
      <c r="G501" s="14"/>
      <c r="H501" s="14"/>
      <c r="I501" s="14"/>
      <c r="J501" s="14"/>
      <c r="K501" s="14"/>
      <c r="L501" s="14"/>
      <c r="M501" s="14"/>
      <c r="N501" s="14"/>
    </row>
    <row r="502" spans="1:14" ht="15" customHeight="1" x14ac:dyDescent="0.2">
      <c r="A502" s="14"/>
      <c r="B502" s="14"/>
      <c r="C502" s="14"/>
      <c r="D502" s="14"/>
      <c r="E502" s="14"/>
      <c r="F502" s="14"/>
      <c r="G502" s="14"/>
      <c r="H502" s="14"/>
      <c r="I502" s="14"/>
      <c r="J502" s="14"/>
      <c r="K502" s="14"/>
      <c r="L502" s="14"/>
      <c r="M502" s="14"/>
      <c r="N502" s="14"/>
    </row>
    <row r="503" spans="1:14" ht="15" customHeight="1" x14ac:dyDescent="0.2">
      <c r="A503" s="14"/>
      <c r="B503" s="14"/>
      <c r="C503" s="14"/>
      <c r="D503" s="14"/>
      <c r="E503" s="14"/>
      <c r="F503" s="14"/>
      <c r="G503" s="14"/>
      <c r="H503" s="14"/>
      <c r="I503" s="14"/>
      <c r="J503" s="14"/>
      <c r="K503" s="14"/>
      <c r="L503" s="14"/>
      <c r="M503" s="14"/>
      <c r="N503" s="14"/>
    </row>
    <row r="504" spans="1:14" ht="15" customHeight="1" x14ac:dyDescent="0.2">
      <c r="A504" s="14"/>
      <c r="B504" s="14"/>
      <c r="C504" s="14"/>
      <c r="D504" s="14"/>
      <c r="E504" s="14"/>
      <c r="F504" s="14"/>
      <c r="G504" s="14"/>
      <c r="H504" s="14"/>
      <c r="I504" s="14"/>
      <c r="J504" s="14"/>
      <c r="K504" s="14"/>
      <c r="L504" s="14"/>
      <c r="M504" s="14"/>
      <c r="N504" s="14"/>
    </row>
    <row r="505" spans="1:14" ht="25" customHeight="1" x14ac:dyDescent="0.2">
      <c r="A505" s="14"/>
      <c r="B505" s="214" t="s">
        <v>82</v>
      </c>
      <c r="C505" s="214"/>
      <c r="D505" s="214"/>
      <c r="E505" s="214"/>
      <c r="F505" s="214"/>
      <c r="G505" s="214"/>
      <c r="H505" s="214"/>
      <c r="I505" s="214"/>
      <c r="J505" s="214"/>
      <c r="K505" s="214"/>
      <c r="L505" s="214"/>
      <c r="M505" s="214"/>
      <c r="N505" s="14"/>
    </row>
    <row r="506" spans="1:14" ht="25" customHeight="1" x14ac:dyDescent="0.2">
      <c r="A506" s="14"/>
      <c r="B506" s="214" t="s">
        <v>92</v>
      </c>
      <c r="C506" s="214"/>
      <c r="D506" s="214"/>
      <c r="E506" s="214"/>
      <c r="F506" s="214"/>
      <c r="G506" s="214"/>
      <c r="H506" s="214"/>
      <c r="I506" s="214"/>
      <c r="J506" s="214"/>
      <c r="K506" s="214"/>
      <c r="L506" s="214"/>
      <c r="M506" s="214"/>
      <c r="N506" s="14"/>
    </row>
    <row r="507" spans="1:14" ht="25" customHeight="1" x14ac:dyDescent="0.2">
      <c r="A507" s="14"/>
      <c r="B507" s="214" t="s">
        <v>95</v>
      </c>
      <c r="C507" s="214"/>
      <c r="D507" s="214"/>
      <c r="E507" s="214"/>
      <c r="F507" s="214"/>
      <c r="G507" s="223"/>
      <c r="H507" s="214" t="s">
        <v>59</v>
      </c>
      <c r="I507" s="214"/>
      <c r="J507" s="214"/>
      <c r="K507" s="214"/>
      <c r="L507" s="214"/>
      <c r="M507" s="214"/>
      <c r="N507" s="14"/>
    </row>
    <row r="508" spans="1:14" ht="15" customHeight="1" x14ac:dyDescent="0.2">
      <c r="A508" s="14"/>
      <c r="B508" s="2" t="str">
        <f>B477</f>
        <v>Fraction</v>
      </c>
      <c r="C508" s="2" t="str">
        <f>C477</f>
        <v>Sub-fraction</v>
      </c>
      <c r="D508" s="2" t="s">
        <v>99</v>
      </c>
      <c r="E508" s="2" t="str">
        <f>E477</f>
        <v>Value</v>
      </c>
      <c r="F508" s="2" t="str">
        <f>F477</f>
        <v>Unit</v>
      </c>
      <c r="G508" s="4" t="str">
        <f>G477</f>
        <v>Equation</v>
      </c>
      <c r="H508" s="2" t="str">
        <f>H477</f>
        <v>Fraction</v>
      </c>
      <c r="I508" s="2" t="str">
        <f>I477</f>
        <v>Sub-fraction</v>
      </c>
      <c r="J508" s="2" t="str">
        <f>D508</f>
        <v>Name</v>
      </c>
      <c r="K508" s="2" t="str">
        <f>K477</f>
        <v>Value</v>
      </c>
      <c r="L508" s="2" t="str">
        <f>L477</f>
        <v>Unit</v>
      </c>
      <c r="M508" s="2" t="str">
        <f>M477</f>
        <v>Equation</v>
      </c>
      <c r="N508" s="14"/>
    </row>
    <row r="509" spans="1:14" ht="15" customHeight="1" x14ac:dyDescent="0.2">
      <c r="A509" s="14"/>
      <c r="B509" s="220" t="s">
        <v>14</v>
      </c>
      <c r="C509" s="6" t="str">
        <f>C478</f>
        <v>PET</v>
      </c>
      <c r="D509" t="s">
        <v>665</v>
      </c>
      <c r="E509">
        <f>$C$372*E238</f>
        <v>98.019116927999988</v>
      </c>
      <c r="F509" t="s">
        <v>96</v>
      </c>
      <c r="G509" s="32" t="str">
        <f>$B$372&amp;" * "&amp;D238</f>
        <v>bottle_carbon * bottle_PET_RE_NEW_mass_mechanical</v>
      </c>
      <c r="H509" s="220" t="s">
        <v>14</v>
      </c>
      <c r="I509" s="6" t="str">
        <f>C509</f>
        <v>PET</v>
      </c>
      <c r="J509" t="s">
        <v>684</v>
      </c>
      <c r="K509">
        <f>E478-E509</f>
        <v>20.076204672000003</v>
      </c>
      <c r="L509" t="s">
        <v>96</v>
      </c>
      <c r="M509" t="str">
        <f>D478&amp;" - "&amp;D509</f>
        <v>bottle_PET_SOR_RE_carbon_mechanical - bottle_PET_RE_NEW_carbon_mechanical</v>
      </c>
      <c r="N509" s="14" t="s">
        <v>1005</v>
      </c>
    </row>
    <row r="510" spans="1:14" ht="15" customHeight="1" x14ac:dyDescent="0.2">
      <c r="A510" s="14"/>
      <c r="B510" s="220"/>
      <c r="C510" s="6" t="str">
        <f t="shared" ref="C510:C523" si="90">C479</f>
        <v>PE</v>
      </c>
      <c r="D510" t="s">
        <v>666</v>
      </c>
      <c r="E510">
        <f>$C$372*E239</f>
        <v>35.439731712000004</v>
      </c>
      <c r="F510" t="str">
        <f>F509</f>
        <v>kg C</v>
      </c>
      <c r="G510" s="32" t="str">
        <f>$B$372&amp;" * "&amp;D239</f>
        <v>bottle_carbon * bottle_PE_RE_NEW_mass_mechanical</v>
      </c>
      <c r="H510" s="220"/>
      <c r="I510" s="6" t="str">
        <f t="shared" ref="I510:I523" si="91">C510</f>
        <v>PE</v>
      </c>
      <c r="J510" t="s">
        <v>685</v>
      </c>
      <c r="K510">
        <f>E479-E510</f>
        <v>2.667506687999996</v>
      </c>
      <c r="L510" t="str">
        <f>L509</f>
        <v>kg C</v>
      </c>
      <c r="M510" t="str">
        <f t="shared" ref="M510:M523" si="92">D479&amp;" - "&amp;D510</f>
        <v>bottle_PE_SOR_RE_carbon_mechanical - bottle_PE_RE_NEW_carbon_mechanical</v>
      </c>
      <c r="N510" s="14" t="s">
        <v>1005</v>
      </c>
    </row>
    <row r="511" spans="1:14" ht="15" customHeight="1" x14ac:dyDescent="0.2">
      <c r="A511" s="14"/>
      <c r="B511" s="220"/>
      <c r="C511" s="6" t="str">
        <f t="shared" si="90"/>
        <v>PP</v>
      </c>
      <c r="D511" t="s">
        <v>667</v>
      </c>
      <c r="E511">
        <f>$C$372*E240</f>
        <v>0</v>
      </c>
      <c r="F511" t="str">
        <f t="shared" ref="F511:F523" si="93">F510</f>
        <v>kg C</v>
      </c>
      <c r="G511" s="32" t="str">
        <f>$B$372&amp;" * "&amp;D240</f>
        <v>bottle_carbon * bottle_PP_RE_NEW_mass_mechanical</v>
      </c>
      <c r="H511" s="220"/>
      <c r="I511" s="6" t="str">
        <f t="shared" si="91"/>
        <v>PP</v>
      </c>
      <c r="J511" t="s">
        <v>686</v>
      </c>
      <c r="K511">
        <f>E480-E511</f>
        <v>0</v>
      </c>
      <c r="L511" t="str">
        <f t="shared" ref="L511:L523" si="94">L510</f>
        <v>kg C</v>
      </c>
      <c r="M511" t="str">
        <f t="shared" si="92"/>
        <v>bottle_PP_SOR_RE_carbon_mechanical - bottle_PP_RE_NEW_carbon_mechanical</v>
      </c>
      <c r="N511" s="14" t="s">
        <v>1005</v>
      </c>
    </row>
    <row r="512" spans="1:14" ht="15" customHeight="1" x14ac:dyDescent="0.2">
      <c r="A512" s="14"/>
      <c r="B512" s="220"/>
      <c r="C512" s="6" t="str">
        <f t="shared" si="90"/>
        <v>PS</v>
      </c>
      <c r="D512" t="s">
        <v>668</v>
      </c>
      <c r="E512">
        <f>$C$372*E241</f>
        <v>0</v>
      </c>
      <c r="F512" t="str">
        <f t="shared" si="93"/>
        <v>kg C</v>
      </c>
      <c r="G512" s="32" t="str">
        <f>$B$372&amp;" * "&amp;D241</f>
        <v>bottle_carbon * bottle_PS_RE_NEW_mass_mechanical</v>
      </c>
      <c r="H512" s="220"/>
      <c r="I512" s="6" t="str">
        <f t="shared" si="91"/>
        <v>PS</v>
      </c>
      <c r="J512" t="s">
        <v>687</v>
      </c>
      <c r="K512">
        <f t="shared" ref="K512:K513" si="95">E481-E512</f>
        <v>0</v>
      </c>
      <c r="L512" t="str">
        <f t="shared" si="94"/>
        <v>kg C</v>
      </c>
      <c r="M512" t="str">
        <f t="shared" si="92"/>
        <v>bottle_PS_SOR_RE_carbon_mechanical - bottle_PS_RE_NEW_carbon_mechanical</v>
      </c>
      <c r="N512" s="14" t="s">
        <v>1005</v>
      </c>
    </row>
    <row r="513" spans="1:14" ht="15" customHeight="1" x14ac:dyDescent="0.2">
      <c r="A513" s="14"/>
      <c r="B513" s="220"/>
      <c r="C513" s="6" t="str">
        <f t="shared" si="90"/>
        <v>Other</v>
      </c>
      <c r="D513" t="s">
        <v>669</v>
      </c>
      <c r="E513">
        <f>$C$372*E242</f>
        <v>0</v>
      </c>
      <c r="F513" t="str">
        <f t="shared" si="93"/>
        <v>kg C</v>
      </c>
      <c r="G513" s="32" t="str">
        <f>$B$372&amp;" * "&amp;D242</f>
        <v>bottle_carbon * bottle_Oth_RE_NEW_mass_mechanical</v>
      </c>
      <c r="H513" s="220"/>
      <c r="I513" s="6" t="str">
        <f t="shared" si="91"/>
        <v>Other</v>
      </c>
      <c r="J513" t="s">
        <v>688</v>
      </c>
      <c r="K513">
        <f t="shared" si="95"/>
        <v>0</v>
      </c>
      <c r="L513" t="str">
        <f t="shared" si="94"/>
        <v>kg C</v>
      </c>
      <c r="M513" t="str">
        <f t="shared" si="92"/>
        <v>bottle_Oth_SOR_RE_carbon_mechanical - bottle_Oth_RE_NEW_carbon_mechanical</v>
      </c>
      <c r="N513" s="14" t="s">
        <v>1005</v>
      </c>
    </row>
    <row r="514" spans="1:14" ht="15" customHeight="1" x14ac:dyDescent="0.2">
      <c r="A514" s="14"/>
      <c r="B514" s="220" t="s">
        <v>15</v>
      </c>
      <c r="C514" s="6" t="str">
        <f t="shared" si="90"/>
        <v>PET</v>
      </c>
      <c r="D514" t="s">
        <v>670</v>
      </c>
      <c r="E514">
        <f>$C$373*E243</f>
        <v>19.085395823999999</v>
      </c>
      <c r="F514" t="str">
        <f t="shared" si="93"/>
        <v>kg C</v>
      </c>
      <c r="G514" s="32" t="str">
        <f>$B$373&amp;" * "&amp;D243</f>
        <v>rigid_carbon * rigid_PET_RE_NEW_mass_mechanical</v>
      </c>
      <c r="H514" s="220" t="s">
        <v>15</v>
      </c>
      <c r="I514" s="6" t="str">
        <f t="shared" si="91"/>
        <v>PET</v>
      </c>
      <c r="J514" t="s">
        <v>689</v>
      </c>
      <c r="K514">
        <f>E483-E514</f>
        <v>3.9090569760000022</v>
      </c>
      <c r="L514" t="str">
        <f t="shared" si="94"/>
        <v>kg C</v>
      </c>
      <c r="M514" t="str">
        <f t="shared" si="92"/>
        <v>rigid_PET_SOR_RE_carbon_mechanical - rigid_PET_RE_NEW_carbon_mechanical</v>
      </c>
      <c r="N514" s="14" t="s">
        <v>1005</v>
      </c>
    </row>
    <row r="515" spans="1:14" ht="15" customHeight="1" x14ac:dyDescent="0.2">
      <c r="A515" s="14"/>
      <c r="B515" s="220"/>
      <c r="C515" s="6" t="str">
        <f t="shared" si="90"/>
        <v>PE</v>
      </c>
      <c r="D515" t="s">
        <v>671</v>
      </c>
      <c r="E515">
        <f>$C$373*E244</f>
        <v>15.542033760000002</v>
      </c>
      <c r="F515" t="str">
        <f t="shared" si="93"/>
        <v>kg C</v>
      </c>
      <c r="G515" s="32" t="str">
        <f>$B$373&amp;" * "&amp;D244</f>
        <v>rigid_carbon * rigid_PE_RE_NEW_mass_mechanical</v>
      </c>
      <c r="H515" s="220"/>
      <c r="I515" s="6" t="str">
        <f t="shared" si="91"/>
        <v>PE</v>
      </c>
      <c r="J515" t="s">
        <v>690</v>
      </c>
      <c r="K515">
        <f>E484-E515</f>
        <v>2.7427118399999983</v>
      </c>
      <c r="L515" t="str">
        <f t="shared" si="94"/>
        <v>kg C</v>
      </c>
      <c r="M515" t="str">
        <f t="shared" si="92"/>
        <v>rigid_PE_SOR_RE_carbon_mechanical - rigid_PE_RE_NEW_carbon_mechanical</v>
      </c>
      <c r="N515" s="14" t="s">
        <v>1005</v>
      </c>
    </row>
    <row r="516" spans="1:14" ht="15" customHeight="1" x14ac:dyDescent="0.2">
      <c r="A516" s="14"/>
      <c r="B516" s="220"/>
      <c r="C516" s="6" t="str">
        <f t="shared" si="90"/>
        <v>PP</v>
      </c>
      <c r="D516" t="s">
        <v>672</v>
      </c>
      <c r="E516">
        <f>$C$373*E245</f>
        <v>28.507580639999997</v>
      </c>
      <c r="F516" t="str">
        <f t="shared" si="93"/>
        <v>kg C</v>
      </c>
      <c r="G516" s="32" t="str">
        <f>$B$373&amp;" * "&amp;D245</f>
        <v>rigid_carbon * rigid_PP_RE_NEW_mass_mechanical</v>
      </c>
      <c r="H516" s="220"/>
      <c r="I516" s="6" t="str">
        <f t="shared" si="91"/>
        <v>PP</v>
      </c>
      <c r="J516" t="s">
        <v>691</v>
      </c>
      <c r="K516">
        <f>E485-E516</f>
        <v>5.4300153600000023</v>
      </c>
      <c r="L516" t="str">
        <f t="shared" si="94"/>
        <v>kg C</v>
      </c>
      <c r="M516" t="str">
        <f t="shared" si="92"/>
        <v>rigid_PP_SOR_RE_carbon_mechanical - rigid_PP_RE_NEW_carbon_mechanical</v>
      </c>
      <c r="N516" s="14" t="s">
        <v>1006</v>
      </c>
    </row>
    <row r="517" spans="1:14" ht="15" customHeight="1" x14ac:dyDescent="0.2">
      <c r="A517" s="14"/>
      <c r="B517" s="220"/>
      <c r="C517" s="6" t="str">
        <f t="shared" si="90"/>
        <v>PS</v>
      </c>
      <c r="D517" t="s">
        <v>673</v>
      </c>
      <c r="E517">
        <f>$C$373*E246</f>
        <v>3.38063706288</v>
      </c>
      <c r="F517" t="str">
        <f t="shared" si="93"/>
        <v>kg C</v>
      </c>
      <c r="G517" s="32" t="str">
        <f>$B$373&amp;" * "&amp;D246</f>
        <v>rigid_carbon * rigid_PS_RE_NEW_mass_mechanical</v>
      </c>
      <c r="H517" s="220"/>
      <c r="I517" s="6" t="str">
        <f t="shared" si="91"/>
        <v>PS</v>
      </c>
      <c r="J517" t="s">
        <v>692</v>
      </c>
      <c r="K517">
        <f t="shared" ref="K517:K518" si="96">E486-E517</f>
        <v>0.64393086912000008</v>
      </c>
      <c r="L517" t="str">
        <f t="shared" si="94"/>
        <v>kg C</v>
      </c>
      <c r="M517" t="str">
        <f t="shared" si="92"/>
        <v>rigid_PS_SOR_RE_carbon_mechanical - rigid_PS_RE_NEW_carbon_mechanical</v>
      </c>
      <c r="N517" s="14" t="s">
        <v>1005</v>
      </c>
    </row>
    <row r="518" spans="1:14" ht="15" customHeight="1" x14ac:dyDescent="0.2">
      <c r="A518" s="14"/>
      <c r="B518" s="220"/>
      <c r="C518" s="6" t="str">
        <f t="shared" si="90"/>
        <v>Other</v>
      </c>
      <c r="D518" t="s">
        <v>674</v>
      </c>
      <c r="E518">
        <f>$C$373*E247</f>
        <v>16.903185314399995</v>
      </c>
      <c r="F518" t="str">
        <f t="shared" si="93"/>
        <v>kg C</v>
      </c>
      <c r="G518" s="32" t="str">
        <f>$B$373&amp;" * "&amp;D247</f>
        <v>rigid_carbon * rigid_Oth_RE_NEW_mass_mechanical</v>
      </c>
      <c r="H518" s="220"/>
      <c r="I518" s="6" t="str">
        <f t="shared" si="91"/>
        <v>Other</v>
      </c>
      <c r="J518" t="s">
        <v>693</v>
      </c>
      <c r="K518">
        <f t="shared" si="96"/>
        <v>3.2196543455999986</v>
      </c>
      <c r="L518" t="str">
        <f t="shared" si="94"/>
        <v>kg C</v>
      </c>
      <c r="M518" t="str">
        <f t="shared" si="92"/>
        <v>rigid_Oth_SOR_RE_carbon_mechanical - rigid_Oth_RE_NEW_carbon_mechanical</v>
      </c>
      <c r="N518" s="14" t="s">
        <v>1005</v>
      </c>
    </row>
    <row r="519" spans="1:14" ht="15" customHeight="1" x14ac:dyDescent="0.2">
      <c r="A519" s="14"/>
      <c r="B519" s="220" t="s">
        <v>42</v>
      </c>
      <c r="C519" s="6" t="str">
        <f t="shared" si="90"/>
        <v>PET</v>
      </c>
      <c r="D519" t="s">
        <v>675</v>
      </c>
      <c r="E519">
        <f>$C$374*E248</f>
        <v>0</v>
      </c>
      <c r="F519" t="str">
        <f t="shared" si="93"/>
        <v>kg C</v>
      </c>
      <c r="G519" s="32" t="str">
        <f>$B$374&amp;" * "&amp;D248</f>
        <v>soft_carbon * soft_PET_RE_NEW_mass_mechanical</v>
      </c>
      <c r="H519" s="220" t="s">
        <v>42</v>
      </c>
      <c r="I519" s="6" t="str">
        <f t="shared" si="91"/>
        <v>PET</v>
      </c>
      <c r="J519" t="s">
        <v>694</v>
      </c>
      <c r="K519">
        <f>E488-E519</f>
        <v>0</v>
      </c>
      <c r="L519" t="str">
        <f t="shared" si="94"/>
        <v>kg C</v>
      </c>
      <c r="M519" t="str">
        <f t="shared" si="92"/>
        <v>soft_PET_SOR_RE_carbon_mechanical - soft_PET_RE_NEW_carbon_mechanical</v>
      </c>
      <c r="N519" s="14" t="s">
        <v>1005</v>
      </c>
    </row>
    <row r="520" spans="1:14" ht="15" customHeight="1" x14ac:dyDescent="0.2">
      <c r="A520" s="14"/>
      <c r="B520" s="220"/>
      <c r="C520" s="6" t="str">
        <f t="shared" si="90"/>
        <v>PE</v>
      </c>
      <c r="D520" t="s">
        <v>676</v>
      </c>
      <c r="E520">
        <f>$C$374*E249</f>
        <v>141.54617030399999</v>
      </c>
      <c r="F520" t="str">
        <f t="shared" si="93"/>
        <v>kg C</v>
      </c>
      <c r="G520" s="32" t="str">
        <f>$B$374&amp;" * "&amp;D249</f>
        <v>soft_carbon * soft_PE_RE_NEW_mass_mechanical</v>
      </c>
      <c r="H520" s="220"/>
      <c r="I520" s="6" t="str">
        <f t="shared" si="91"/>
        <v>PE</v>
      </c>
      <c r="J520" t="s">
        <v>695</v>
      </c>
      <c r="K520">
        <f>E489-E520</f>
        <v>24.978735936000021</v>
      </c>
      <c r="L520" t="str">
        <f t="shared" si="94"/>
        <v>kg C</v>
      </c>
      <c r="M520" t="str">
        <f t="shared" si="92"/>
        <v>soft_PE_SOR_RE_carbon_mechanical - soft_PE_RE_NEW_carbon_mechanical</v>
      </c>
      <c r="N520" s="14" t="s">
        <v>1006</v>
      </c>
    </row>
    <row r="521" spans="1:14" ht="15" customHeight="1" x14ac:dyDescent="0.2">
      <c r="A521" s="14"/>
      <c r="B521" s="220"/>
      <c r="C521" s="6" t="str">
        <f t="shared" si="90"/>
        <v>PP</v>
      </c>
      <c r="D521" t="s">
        <v>677</v>
      </c>
      <c r="E521">
        <f>$C$374*E250</f>
        <v>0</v>
      </c>
      <c r="F521" t="str">
        <f t="shared" si="93"/>
        <v>kg C</v>
      </c>
      <c r="G521" s="32" t="str">
        <f>$B$374&amp;" * "&amp;D250</f>
        <v>soft_carbon * soft_PP_RE_NEW_mass_mechanical</v>
      </c>
      <c r="H521" s="220"/>
      <c r="I521" s="6" t="str">
        <f t="shared" si="91"/>
        <v>PP</v>
      </c>
      <c r="J521" t="s">
        <v>696</v>
      </c>
      <c r="K521">
        <f>E490-E521</f>
        <v>0</v>
      </c>
      <c r="L521" t="str">
        <f t="shared" si="94"/>
        <v>kg C</v>
      </c>
      <c r="M521" t="str">
        <f t="shared" si="92"/>
        <v>soft_PP_SOR_RE_carbon_mechanical - soft_PP_RE_NEW_carbon_mechanical</v>
      </c>
      <c r="N521" s="14" t="s">
        <v>1005</v>
      </c>
    </row>
    <row r="522" spans="1:14" ht="15" customHeight="1" x14ac:dyDescent="0.2">
      <c r="A522" s="14"/>
      <c r="B522" s="220"/>
      <c r="C522" s="6" t="str">
        <f t="shared" si="90"/>
        <v>PS</v>
      </c>
      <c r="D522" t="s">
        <v>678</v>
      </c>
      <c r="E522">
        <f>$C$374*E251</f>
        <v>0</v>
      </c>
      <c r="F522" t="str">
        <f t="shared" si="93"/>
        <v>kg C</v>
      </c>
      <c r="G522" s="32" t="str">
        <f>$B$374&amp;" * "&amp;D251</f>
        <v>soft_carbon * soft_PS_RE_NEW_mass_mechanical</v>
      </c>
      <c r="H522" s="220"/>
      <c r="I522" s="6" t="str">
        <f t="shared" si="91"/>
        <v>PS</v>
      </c>
      <c r="J522" t="s">
        <v>697</v>
      </c>
      <c r="K522">
        <f t="shared" ref="K522:K523" si="97">E491-E522</f>
        <v>0</v>
      </c>
      <c r="L522" t="str">
        <f t="shared" si="94"/>
        <v>kg C</v>
      </c>
      <c r="M522" t="str">
        <f t="shared" si="92"/>
        <v>soft_PS_SOR_RE_carbon_mechanical - soft_PS_RE_NEW_carbon_mechanical</v>
      </c>
      <c r="N522" s="14" t="s">
        <v>1005</v>
      </c>
    </row>
    <row r="523" spans="1:14" ht="15" customHeight="1" x14ac:dyDescent="0.2">
      <c r="A523" s="14"/>
      <c r="B523" s="227"/>
      <c r="C523" s="60" t="str">
        <f t="shared" si="90"/>
        <v>Other</v>
      </c>
      <c r="D523" s="44" t="s">
        <v>679</v>
      </c>
      <c r="E523" s="44">
        <f>$C$374*E252</f>
        <v>30.788520783552002</v>
      </c>
      <c r="F523" s="44" t="str">
        <f t="shared" si="93"/>
        <v>kg C</v>
      </c>
      <c r="G523" s="61" t="str">
        <f>$B$374&amp;" * "&amp;D252</f>
        <v>soft_carbon * soft_Oth_RE_NEW_mass_mechanical</v>
      </c>
      <c r="H523" s="220"/>
      <c r="I523" s="6" t="str">
        <f t="shared" si="91"/>
        <v>Other</v>
      </c>
      <c r="J523" t="s">
        <v>698</v>
      </c>
      <c r="K523">
        <f t="shared" si="97"/>
        <v>5.8644801492480028</v>
      </c>
      <c r="L523" t="str">
        <f t="shared" si="94"/>
        <v>kg C</v>
      </c>
      <c r="M523" t="str">
        <f t="shared" si="92"/>
        <v>soft_Oth_SOR_RE_carbon_mechanical - soft_Oth_RE_NEW_carbon_mechanical</v>
      </c>
      <c r="N523" s="14" t="s">
        <v>1005</v>
      </c>
    </row>
    <row r="524" spans="1:14" ht="25" customHeight="1" x14ac:dyDescent="0.2">
      <c r="A524" s="14"/>
      <c r="B524" s="214" t="s">
        <v>94</v>
      </c>
      <c r="C524" s="214"/>
      <c r="D524" s="214"/>
      <c r="E524" s="214"/>
      <c r="F524" s="214"/>
      <c r="G524" s="214"/>
      <c r="H524" s="214"/>
      <c r="I524" s="214"/>
      <c r="J524" s="214"/>
      <c r="K524" s="214"/>
      <c r="L524" s="214"/>
      <c r="M524" s="214"/>
      <c r="N524" s="14" t="s">
        <v>1005</v>
      </c>
    </row>
    <row r="525" spans="1:14" ht="15" customHeight="1" x14ac:dyDescent="0.2">
      <c r="A525" s="14"/>
      <c r="B525" s="2" t="str">
        <f>B494</f>
        <v>Parameter</v>
      </c>
      <c r="C525" s="2" t="str">
        <f>C494</f>
        <v>Value</v>
      </c>
      <c r="D525" s="2" t="str">
        <f>D494</f>
        <v>Unit</v>
      </c>
      <c r="E525" s="2" t="str">
        <f>E494</f>
        <v>Description</v>
      </c>
      <c r="F525" s="2"/>
      <c r="G525" s="1"/>
      <c r="H525" s="2" t="str">
        <f>H494</f>
        <v>Parameter</v>
      </c>
      <c r="I525" s="2" t="str">
        <f>I494</f>
        <v>Value</v>
      </c>
      <c r="J525" s="2" t="str">
        <f>J494</f>
        <v>Unit</v>
      </c>
      <c r="K525" s="2" t="str">
        <f>K494</f>
        <v>Description</v>
      </c>
      <c r="L525" s="2"/>
      <c r="M525" s="2"/>
      <c r="N525" s="14"/>
    </row>
    <row r="526" spans="1:14" ht="15" customHeight="1" x14ac:dyDescent="0.2">
      <c r="A526" s="14"/>
      <c r="B526" t="s">
        <v>680</v>
      </c>
      <c r="C526">
        <f>SUM(E509:E513)</f>
        <v>133.45884863999999</v>
      </c>
      <c r="D526" t="s">
        <v>96</v>
      </c>
      <c r="E526" t="s">
        <v>1123</v>
      </c>
      <c r="G526" s="32"/>
      <c r="H526" t="s">
        <v>699</v>
      </c>
      <c r="I526">
        <f>SUM(K509:K513)</f>
        <v>22.743711359999999</v>
      </c>
      <c r="J526" t="s">
        <v>96</v>
      </c>
      <c r="K526" t="s">
        <v>1120</v>
      </c>
      <c r="N526" s="14"/>
    </row>
    <row r="527" spans="1:14" ht="15" customHeight="1" x14ac:dyDescent="0.2">
      <c r="A527" s="14"/>
      <c r="B527" t="s">
        <v>681</v>
      </c>
      <c r="C527">
        <f>SUM(E514:E518)</f>
        <v>83.418832601279988</v>
      </c>
      <c r="D527" t="str">
        <f>D526</f>
        <v>kg C</v>
      </c>
      <c r="E527" t="s">
        <v>1124</v>
      </c>
      <c r="G527" s="32"/>
      <c r="H527" t="s">
        <v>700</v>
      </c>
      <c r="I527">
        <f>SUM(K514:K518)</f>
        <v>15.945369390720002</v>
      </c>
      <c r="J527" t="str">
        <f>J526</f>
        <v>kg C</v>
      </c>
      <c r="K527" t="s">
        <v>1121</v>
      </c>
      <c r="N527" s="14"/>
    </row>
    <row r="528" spans="1:14" ht="15" customHeight="1" thickBot="1" x14ac:dyDescent="0.25">
      <c r="A528" s="14"/>
      <c r="B528" s="8" t="s">
        <v>682</v>
      </c>
      <c r="C528" s="8">
        <f>SUM(E519:E523)</f>
        <v>172.33469108755199</v>
      </c>
      <c r="D528" s="8" t="str">
        <f>D527</f>
        <v>kg C</v>
      </c>
      <c r="E528" s="8" t="s">
        <v>1125</v>
      </c>
      <c r="F528" s="8"/>
      <c r="G528" s="87"/>
      <c r="H528" s="8" t="s">
        <v>701</v>
      </c>
      <c r="I528" s="8">
        <f>SUM(K519:K523)</f>
        <v>30.843216085248024</v>
      </c>
      <c r="J528" s="8" t="str">
        <f>J527</f>
        <v>kg C</v>
      </c>
      <c r="K528" s="8" t="s">
        <v>1122</v>
      </c>
      <c r="L528" s="8"/>
      <c r="M528" s="8"/>
      <c r="N528" s="14"/>
    </row>
    <row r="529" spans="1:14" ht="15" customHeight="1" thickTop="1" x14ac:dyDescent="0.2">
      <c r="A529" s="14"/>
      <c r="B529" s="44" t="s">
        <v>683</v>
      </c>
      <c r="C529" s="44">
        <f>SUM(C526:C528)</f>
        <v>389.21237232883198</v>
      </c>
      <c r="D529" s="44" t="str">
        <f>D528</f>
        <v>kg C</v>
      </c>
      <c r="E529" s="44" t="s">
        <v>1126</v>
      </c>
      <c r="F529" s="44"/>
      <c r="G529" s="61"/>
      <c r="H529" s="44" t="s">
        <v>702</v>
      </c>
      <c r="I529" s="44">
        <f>SUM(I526:I528)</f>
        <v>69.532296835968026</v>
      </c>
      <c r="J529" s="44" t="str">
        <f>J528</f>
        <v>kg C</v>
      </c>
      <c r="K529" s="44" t="s">
        <v>1151</v>
      </c>
      <c r="L529" s="44"/>
      <c r="M529" s="44"/>
      <c r="N529" s="14"/>
    </row>
    <row r="530" spans="1:14" ht="15" customHeight="1" x14ac:dyDescent="0.2">
      <c r="A530" s="14"/>
      <c r="B530" s="125" t="s">
        <v>2704</v>
      </c>
      <c r="C530" s="125" t="str">
        <f>IF(C529+I529=C498,"true")</f>
        <v>true</v>
      </c>
      <c r="D530" s="125"/>
      <c r="E530" s="125"/>
      <c r="F530" s="125"/>
      <c r="G530" s="125"/>
      <c r="H530" s="125"/>
      <c r="I530" s="125"/>
      <c r="J530" s="125"/>
      <c r="K530" s="125"/>
      <c r="L530" s="125"/>
      <c r="M530" s="125"/>
      <c r="N530" s="14"/>
    </row>
    <row r="531" spans="1:14" ht="15" customHeight="1" x14ac:dyDescent="0.2">
      <c r="A531" s="14"/>
      <c r="B531" s="14"/>
      <c r="C531" s="14"/>
      <c r="D531" s="14"/>
      <c r="E531" s="14"/>
      <c r="F531" s="14"/>
      <c r="G531" s="14"/>
      <c r="H531" s="14"/>
      <c r="I531" s="14"/>
      <c r="J531" s="14"/>
      <c r="K531" s="14"/>
      <c r="L531" s="14"/>
      <c r="M531" s="14"/>
      <c r="N531" s="14"/>
    </row>
    <row r="532" spans="1:14" ht="15" customHeight="1" x14ac:dyDescent="0.2">
      <c r="A532" s="14"/>
      <c r="B532" s="14"/>
      <c r="C532" s="14"/>
      <c r="D532" s="14"/>
      <c r="E532" s="14"/>
      <c r="F532" s="14"/>
      <c r="G532" s="14"/>
      <c r="H532" s="14"/>
      <c r="I532" s="14"/>
      <c r="J532" s="14"/>
      <c r="K532" s="14"/>
      <c r="L532" s="14"/>
      <c r="M532" s="14"/>
      <c r="N532" s="14"/>
    </row>
    <row r="533" spans="1:14" ht="15" customHeight="1" x14ac:dyDescent="0.2">
      <c r="A533" s="14"/>
      <c r="B533" s="14"/>
      <c r="C533" s="14"/>
      <c r="D533" s="14"/>
      <c r="E533" s="14"/>
      <c r="F533" s="14"/>
      <c r="G533" s="14"/>
      <c r="H533" s="14"/>
      <c r="I533" s="14"/>
      <c r="J533" s="14"/>
      <c r="K533" s="14"/>
      <c r="L533" s="14"/>
      <c r="M533" s="14"/>
      <c r="N533" s="14"/>
    </row>
    <row r="534" spans="1:14" ht="25" customHeight="1" x14ac:dyDescent="0.2">
      <c r="A534" s="14"/>
      <c r="B534" s="214" t="s">
        <v>117</v>
      </c>
      <c r="C534" s="214"/>
      <c r="D534" s="214"/>
      <c r="E534" s="214"/>
      <c r="F534" s="214"/>
      <c r="G534" s="214"/>
      <c r="H534" s="214"/>
      <c r="I534" s="214"/>
      <c r="J534" s="214"/>
      <c r="K534" s="214"/>
      <c r="L534" s="214"/>
      <c r="M534" s="214"/>
      <c r="N534" s="14"/>
    </row>
    <row r="535" spans="1:14" ht="25" customHeight="1" x14ac:dyDescent="0.2">
      <c r="A535" s="14"/>
      <c r="B535" s="214" t="s">
        <v>135</v>
      </c>
      <c r="C535" s="214"/>
      <c r="D535" s="214"/>
      <c r="E535" s="214"/>
      <c r="F535" s="214"/>
      <c r="G535" s="214"/>
      <c r="H535" s="29"/>
      <c r="I535" s="29"/>
      <c r="J535" s="29"/>
      <c r="K535" s="29"/>
      <c r="L535" s="29"/>
      <c r="M535" s="29"/>
      <c r="N535" s="14"/>
    </row>
    <row r="536" spans="1:14" ht="15" customHeight="1" x14ac:dyDescent="0.2">
      <c r="A536" s="14"/>
      <c r="B536" s="2" t="s">
        <v>21</v>
      </c>
      <c r="C536" s="2" t="s">
        <v>20</v>
      </c>
      <c r="D536" s="2" t="s">
        <v>99</v>
      </c>
      <c r="E536" s="2" t="s">
        <v>3</v>
      </c>
      <c r="F536" s="2" t="s">
        <v>4</v>
      </c>
      <c r="G536" s="2" t="s">
        <v>43</v>
      </c>
      <c r="H536" s="2"/>
      <c r="I536" s="2"/>
      <c r="J536" s="2"/>
      <c r="K536" s="2"/>
      <c r="L536" s="2"/>
      <c r="M536" s="2"/>
      <c r="N536" s="14"/>
    </row>
    <row r="537" spans="1:14" ht="15" customHeight="1" x14ac:dyDescent="0.2">
      <c r="A537" s="14"/>
      <c r="B537" s="220" t="s">
        <v>14</v>
      </c>
      <c r="C537" s="6" t="str">
        <f t="shared" ref="C537:C556" si="98">C379</f>
        <v>PET</v>
      </c>
      <c r="D537" t="s">
        <v>703</v>
      </c>
      <c r="E537" s="33">
        <f>$C$372*E275</f>
        <v>60.073683072000009</v>
      </c>
      <c r="F537" t="s">
        <v>10</v>
      </c>
      <c r="G537" t="str">
        <f>$B$372&amp;" * "&amp;D275</f>
        <v>bottle_carbon * bottle_PET_INC_tot_mass_mechanical</v>
      </c>
      <c r="H537" s="66" t="s">
        <v>1005</v>
      </c>
      <c r="I537" s="6"/>
      <c r="N537" s="14"/>
    </row>
    <row r="538" spans="1:14" ht="15" customHeight="1" x14ac:dyDescent="0.2">
      <c r="A538" s="14"/>
      <c r="B538" s="220"/>
      <c r="C538" s="6" t="str">
        <f t="shared" si="98"/>
        <v>PE</v>
      </c>
      <c r="D538" t="s">
        <v>704</v>
      </c>
      <c r="E538" s="33">
        <f>$C$372*E276</f>
        <v>12.675468287999996</v>
      </c>
      <c r="F538" t="str">
        <f>F537</f>
        <v>kg ww</v>
      </c>
      <c r="G538" t="str">
        <f>$B$372&amp;" * "&amp;D276</f>
        <v>bottle_carbon * bottle_PE_INC_tot_mass_mechanical</v>
      </c>
      <c r="H538" s="66" t="s">
        <v>1005</v>
      </c>
      <c r="I538" s="6"/>
      <c r="N538" s="14"/>
    </row>
    <row r="539" spans="1:14" ht="15" customHeight="1" x14ac:dyDescent="0.2">
      <c r="A539" s="14"/>
      <c r="B539" s="220"/>
      <c r="C539" s="6" t="str">
        <f t="shared" si="98"/>
        <v>PP</v>
      </c>
      <c r="D539" t="s">
        <v>705</v>
      </c>
      <c r="E539" s="33">
        <f>$C$372*E277</f>
        <v>0</v>
      </c>
      <c r="F539" t="str">
        <f t="shared" ref="F539:F556" si="99">F538</f>
        <v>kg ww</v>
      </c>
      <c r="G539" t="str">
        <f>$B$372&amp;" * "&amp;D277</f>
        <v>bottle_carbon * bottle_PP_INC_tot_mass_mechanical</v>
      </c>
      <c r="H539" s="66" t="s">
        <v>1005</v>
      </c>
      <c r="I539" s="6"/>
      <c r="N539" s="14"/>
    </row>
    <row r="540" spans="1:14" ht="15" customHeight="1" x14ac:dyDescent="0.2">
      <c r="A540" s="14"/>
      <c r="B540" s="220"/>
      <c r="C540" s="6" t="str">
        <f t="shared" si="98"/>
        <v>PS</v>
      </c>
      <c r="D540" t="s">
        <v>706</v>
      </c>
      <c r="E540" s="33">
        <f>$C$372*E278</f>
        <v>0</v>
      </c>
      <c r="F540" t="str">
        <f t="shared" si="99"/>
        <v>kg ww</v>
      </c>
      <c r="G540" t="str">
        <f>$B$372&amp;" * "&amp;D278</f>
        <v>bottle_carbon * bottle_PS_INC_tot_mass_mechanical</v>
      </c>
      <c r="H540" s="66" t="s">
        <v>1005</v>
      </c>
      <c r="I540" s="6"/>
      <c r="N540" s="14"/>
    </row>
    <row r="541" spans="1:14" ht="15" customHeight="1" x14ac:dyDescent="0.2">
      <c r="A541" s="14"/>
      <c r="B541" s="220"/>
      <c r="C541" s="6" t="str">
        <f t="shared" si="98"/>
        <v>Other</v>
      </c>
      <c r="D541" t="s">
        <v>707</v>
      </c>
      <c r="E541" s="33">
        <f>$C$372*E279</f>
        <v>0</v>
      </c>
      <c r="F541" t="str">
        <f>F540</f>
        <v>kg ww</v>
      </c>
      <c r="G541" t="str">
        <f>$B$372&amp;" * "&amp;D279</f>
        <v>bottle_carbon * bottle_oth_INC_tot_mass_mechanical</v>
      </c>
      <c r="H541" s="66" t="s">
        <v>1005</v>
      </c>
      <c r="I541" s="6"/>
      <c r="N541" s="14"/>
    </row>
    <row r="542" spans="1:14" ht="15" customHeight="1" x14ac:dyDescent="0.2">
      <c r="A542" s="14"/>
      <c r="B542" s="220" t="s">
        <v>15</v>
      </c>
      <c r="C542" s="6" t="str">
        <f t="shared" si="98"/>
        <v>PET</v>
      </c>
      <c r="D542" t="s">
        <v>708</v>
      </c>
      <c r="E542" s="33">
        <f>$C$373*E280</f>
        <v>11.697004176000004</v>
      </c>
      <c r="F542" t="str">
        <f>F541</f>
        <v>kg ww</v>
      </c>
      <c r="G542" t="str">
        <f>$B$373&amp;" * "&amp;D280</f>
        <v>rigid_carbon * rigid_PET_INC_tot_mass_mechanical</v>
      </c>
      <c r="H542" s="66" t="s">
        <v>1005</v>
      </c>
      <c r="I542" s="6"/>
      <c r="N542" s="14"/>
    </row>
    <row r="543" spans="1:14" ht="15" customHeight="1" x14ac:dyDescent="0.2">
      <c r="A543" s="14"/>
      <c r="B543" s="220"/>
      <c r="C543" s="6" t="str">
        <f t="shared" si="98"/>
        <v>PE</v>
      </c>
      <c r="D543" t="s">
        <v>709</v>
      </c>
      <c r="E543" s="33">
        <f>$C$373*E281</f>
        <v>7.5447662399999986</v>
      </c>
      <c r="F543" t="str">
        <f t="shared" si="99"/>
        <v>kg ww</v>
      </c>
      <c r="G543" t="str">
        <f>$B$373&amp;" * "&amp;D281</f>
        <v>rigid_carbon * rigid_PE_INC_tot_mass_mechanical</v>
      </c>
      <c r="H543" s="66" t="s">
        <v>1005</v>
      </c>
      <c r="I543" s="6"/>
      <c r="N543" s="14"/>
    </row>
    <row r="544" spans="1:14" ht="15" customHeight="1" x14ac:dyDescent="0.2">
      <c r="A544" s="14"/>
      <c r="B544" s="220"/>
      <c r="C544" s="6" t="str">
        <f t="shared" si="98"/>
        <v>PP</v>
      </c>
      <c r="D544" t="s">
        <v>710</v>
      </c>
      <c r="E544" s="33">
        <f>$C$373*E282</f>
        <v>25.361619360000002</v>
      </c>
      <c r="F544" t="str">
        <f t="shared" si="99"/>
        <v>kg ww</v>
      </c>
      <c r="G544" t="str">
        <f>$B$373&amp;" * "&amp;D282</f>
        <v>rigid_carbon * rigid_PP_INC_tot_mass_mechanical</v>
      </c>
      <c r="H544" s="66" t="s">
        <v>1005</v>
      </c>
      <c r="I544" s="6"/>
      <c r="N544" s="14"/>
    </row>
    <row r="545" spans="1:14" ht="15" customHeight="1" x14ac:dyDescent="0.2">
      <c r="A545" s="14"/>
      <c r="B545" s="220"/>
      <c r="C545" s="6" t="str">
        <f t="shared" si="98"/>
        <v>PS</v>
      </c>
      <c r="D545" t="s">
        <v>711</v>
      </c>
      <c r="E545" s="33">
        <f>$C$373*E283</f>
        <v>4.3149629371200007</v>
      </c>
      <c r="F545" t="str">
        <f>F544</f>
        <v>kg ww</v>
      </c>
      <c r="G545" t="str">
        <f>$B$373&amp;" * "&amp;D283</f>
        <v>rigid_carbon * rigid_PS_INC_tot_mass_mechanical</v>
      </c>
      <c r="H545" s="66" t="s">
        <v>1005</v>
      </c>
      <c r="I545" s="6"/>
      <c r="N545" s="14"/>
    </row>
    <row r="546" spans="1:14" ht="15" customHeight="1" x14ac:dyDescent="0.2">
      <c r="A546" s="14"/>
      <c r="B546" s="220"/>
      <c r="C546" s="6" t="str">
        <f t="shared" si="98"/>
        <v>Other</v>
      </c>
      <c r="D546" t="s">
        <v>712</v>
      </c>
      <c r="E546" s="33">
        <f>$C$373*E284</f>
        <v>21.574814685599996</v>
      </c>
      <c r="F546" t="str">
        <f t="shared" si="99"/>
        <v>kg ww</v>
      </c>
      <c r="G546" t="str">
        <f>$B$373&amp;" * "&amp;D284</f>
        <v>rigid_carbon * rigid_Oth_INC_tot_mass_mechanical</v>
      </c>
      <c r="H546" s="66" t="s">
        <v>1005</v>
      </c>
      <c r="I546" s="6"/>
      <c r="N546" s="15"/>
    </row>
    <row r="547" spans="1:14" ht="15" customHeight="1" x14ac:dyDescent="0.2">
      <c r="A547" s="15"/>
      <c r="B547" s="220" t="s">
        <v>42</v>
      </c>
      <c r="C547" s="6" t="str">
        <f t="shared" si="98"/>
        <v>PET</v>
      </c>
      <c r="D547" t="s">
        <v>713</v>
      </c>
      <c r="E547" s="33">
        <f>$C$374*E285</f>
        <v>0</v>
      </c>
      <c r="F547" t="str">
        <f t="shared" si="99"/>
        <v>kg ww</v>
      </c>
      <c r="G547" t="str">
        <f>$B$374&amp;" * "&amp;D285</f>
        <v>soft_carbon * soft_PET_INC_tot_mass_mechanical</v>
      </c>
      <c r="H547" s="66" t="s">
        <v>1005</v>
      </c>
      <c r="I547" s="6"/>
      <c r="N547" s="14"/>
    </row>
    <row r="548" spans="1:14" ht="15" customHeight="1" x14ac:dyDescent="0.2">
      <c r="A548" s="14"/>
      <c r="B548" s="220"/>
      <c r="C548" s="6" t="str">
        <f t="shared" si="98"/>
        <v>PE</v>
      </c>
      <c r="D548" t="s">
        <v>714</v>
      </c>
      <c r="E548" s="33">
        <f>$C$374*E286</f>
        <v>68.712549696000011</v>
      </c>
      <c r="F548" t="str">
        <f>F547</f>
        <v>kg ww</v>
      </c>
      <c r="G548" t="str">
        <f>$B$374&amp;" * "&amp;D286</f>
        <v>soft_carbon * soft_PE_INC_tot_mass_mechanical</v>
      </c>
      <c r="H548" s="66" t="s">
        <v>1005</v>
      </c>
      <c r="I548" s="6"/>
      <c r="N548" s="14"/>
    </row>
    <row r="549" spans="1:14" ht="15" customHeight="1" x14ac:dyDescent="0.2">
      <c r="A549" s="14"/>
      <c r="B549" s="220"/>
      <c r="C549" s="6" t="str">
        <f t="shared" si="98"/>
        <v>PP</v>
      </c>
      <c r="D549" t="s">
        <v>715</v>
      </c>
      <c r="E549" s="33">
        <f>$C$374*E287</f>
        <v>0</v>
      </c>
      <c r="F549" t="str">
        <f t="shared" si="99"/>
        <v>kg ww</v>
      </c>
      <c r="G549" t="str">
        <f>$B$374&amp;" * "&amp;D287</f>
        <v>soft_carbon * soft_PP_INC_tot_mass_mechanical</v>
      </c>
      <c r="H549" s="66" t="s">
        <v>1005</v>
      </c>
      <c r="I549" s="6"/>
      <c r="N549" s="14"/>
    </row>
    <row r="550" spans="1:14" ht="15" customHeight="1" x14ac:dyDescent="0.2">
      <c r="A550" s="14"/>
      <c r="B550" s="220"/>
      <c r="C550" s="6" t="str">
        <f t="shared" si="98"/>
        <v>PS</v>
      </c>
      <c r="D550" t="s">
        <v>716</v>
      </c>
      <c r="E550" s="33">
        <f>$C$374*E288</f>
        <v>0</v>
      </c>
      <c r="F550" t="str">
        <f t="shared" si="99"/>
        <v>kg ww</v>
      </c>
      <c r="G550" t="str">
        <f>$B$374&amp;" * "&amp;D288</f>
        <v>soft_carbon * soft_PS_INC_tot_mass_mechanical</v>
      </c>
      <c r="H550" s="66" t="s">
        <v>1005</v>
      </c>
      <c r="I550" s="6"/>
      <c r="N550" s="14"/>
    </row>
    <row r="551" spans="1:14" ht="15" customHeight="1" x14ac:dyDescent="0.2">
      <c r="A551" s="14"/>
      <c r="B551" s="220"/>
      <c r="C551" s="6" t="str">
        <f t="shared" si="98"/>
        <v>Other</v>
      </c>
      <c r="D551" t="s">
        <v>717</v>
      </c>
      <c r="E551" s="33">
        <f>$C$374*E289</f>
        <v>39.297719216448016</v>
      </c>
      <c r="F551" t="str">
        <f t="shared" si="99"/>
        <v>kg ww</v>
      </c>
      <c r="G551" t="str">
        <f>$B$374&amp;" * "&amp;D289</f>
        <v>soft_carbon * soft_Oth_INC_tot_mass_mechanical</v>
      </c>
      <c r="H551" s="66" t="s">
        <v>1005</v>
      </c>
      <c r="I551" s="6"/>
      <c r="N551" s="14"/>
    </row>
    <row r="552" spans="1:14" ht="15" customHeight="1" x14ac:dyDescent="0.2">
      <c r="A552" s="14"/>
      <c r="B552" s="220" t="s">
        <v>19</v>
      </c>
      <c r="C552" s="6" t="str">
        <f t="shared" si="98"/>
        <v>PET</v>
      </c>
      <c r="D552" t="s">
        <v>713</v>
      </c>
      <c r="E552" s="33">
        <f>$C$375*E290</f>
        <v>0</v>
      </c>
      <c r="F552" t="str">
        <f t="shared" si="99"/>
        <v>kg ww</v>
      </c>
      <c r="G552" t="str">
        <f>$B$375&amp;" * "&amp;D290</f>
        <v>nonrec_carbon * other_PET_INC_tot_mass_mechanical</v>
      </c>
      <c r="H552" s="66" t="s">
        <v>1005</v>
      </c>
      <c r="I552" s="6"/>
      <c r="N552" s="14"/>
    </row>
    <row r="553" spans="1:14" ht="15" customHeight="1" x14ac:dyDescent="0.2">
      <c r="A553" s="14"/>
      <c r="B553" s="220"/>
      <c r="C553" s="6" t="str">
        <f t="shared" si="98"/>
        <v>PE</v>
      </c>
      <c r="D553" t="s">
        <v>714</v>
      </c>
      <c r="E553" s="33">
        <f>$C$375*E291</f>
        <v>0</v>
      </c>
      <c r="F553" t="str">
        <f t="shared" si="99"/>
        <v>kg ww</v>
      </c>
      <c r="G553" t="str">
        <f>$B$375&amp;" * "&amp;D291</f>
        <v>nonrec_carbon * other_PE_INC_tot_mass_mechanical</v>
      </c>
      <c r="H553" s="66" t="s">
        <v>1005</v>
      </c>
      <c r="I553" s="6"/>
      <c r="N553" s="14"/>
    </row>
    <row r="554" spans="1:14" ht="15" customHeight="1" x14ac:dyDescent="0.2">
      <c r="A554" s="14"/>
      <c r="B554" s="220"/>
      <c r="C554" s="6" t="str">
        <f t="shared" si="98"/>
        <v>PP</v>
      </c>
      <c r="D554" t="s">
        <v>715</v>
      </c>
      <c r="E554" s="33">
        <f>$C$375*E292</f>
        <v>0</v>
      </c>
      <c r="F554" t="str">
        <f t="shared" si="99"/>
        <v>kg ww</v>
      </c>
      <c r="G554" t="str">
        <f>$B$375&amp;" * "&amp;D292</f>
        <v>nonrec_carbon * other_PP_INC_tot_mass_mechanical</v>
      </c>
      <c r="H554" s="66" t="s">
        <v>1005</v>
      </c>
      <c r="I554" s="6"/>
      <c r="N554" s="14"/>
    </row>
    <row r="555" spans="1:14" ht="15" customHeight="1" x14ac:dyDescent="0.2">
      <c r="A555" s="14"/>
      <c r="B555" s="220"/>
      <c r="C555" s="6" t="str">
        <f t="shared" si="98"/>
        <v>PS</v>
      </c>
      <c r="D555" t="s">
        <v>716</v>
      </c>
      <c r="E555" s="33">
        <f>$C$375*E293</f>
        <v>0</v>
      </c>
      <c r="F555" t="str">
        <f t="shared" si="99"/>
        <v>kg ww</v>
      </c>
      <c r="G555" t="str">
        <f>$B$375&amp;" * "&amp;D293</f>
        <v>nonrec_carbon * other_PS_INC_tot_mass_mechanical</v>
      </c>
      <c r="H555" s="66" t="s">
        <v>1005</v>
      </c>
      <c r="I555" s="6"/>
      <c r="N555" s="14"/>
    </row>
    <row r="556" spans="1:14" ht="15" customHeight="1" x14ac:dyDescent="0.2">
      <c r="A556" s="14"/>
      <c r="B556" s="227"/>
      <c r="C556" s="6" t="str">
        <f t="shared" si="98"/>
        <v>Other</v>
      </c>
      <c r="D556" t="s">
        <v>717</v>
      </c>
      <c r="E556" s="33">
        <f>$C$375*E294</f>
        <v>65.587399999999946</v>
      </c>
      <c r="F556" t="str">
        <f t="shared" si="99"/>
        <v>kg ww</v>
      </c>
      <c r="G556" t="str">
        <f>$B$375&amp;" * "&amp;D294</f>
        <v>nonrec_carbon * other_Oth_INC_tot_mass_mechanical</v>
      </c>
      <c r="H556" s="66" t="s">
        <v>1005</v>
      </c>
      <c r="I556" s="6"/>
      <c r="N556" s="14"/>
    </row>
    <row r="557" spans="1:14" ht="25" customHeight="1" x14ac:dyDescent="0.2">
      <c r="A557" s="14"/>
      <c r="B557" s="214" t="s">
        <v>127</v>
      </c>
      <c r="C557" s="214"/>
      <c r="D557" s="214"/>
      <c r="E557" s="214"/>
      <c r="F557" s="214"/>
      <c r="G557" s="214"/>
      <c r="H557" s="214"/>
      <c r="I557" s="214"/>
      <c r="J557" s="214"/>
      <c r="K557" s="214"/>
      <c r="L557" s="214"/>
      <c r="M557" s="214"/>
      <c r="N557" s="15"/>
    </row>
    <row r="558" spans="1:14" ht="25" customHeight="1" x14ac:dyDescent="0.2">
      <c r="A558" s="15"/>
      <c r="B558" s="214" t="s">
        <v>118</v>
      </c>
      <c r="C558" s="214"/>
      <c r="D558" s="214"/>
      <c r="E558" s="214"/>
      <c r="F558" s="214"/>
      <c r="G558" s="223"/>
      <c r="H558" s="214" t="s">
        <v>128</v>
      </c>
      <c r="I558" s="214"/>
      <c r="J558" s="214"/>
      <c r="K558" s="214"/>
      <c r="L558" s="214"/>
      <c r="M558" s="214"/>
      <c r="N558" s="14"/>
    </row>
    <row r="559" spans="1:14" ht="15" customHeight="1" x14ac:dyDescent="0.2">
      <c r="A559" s="14"/>
      <c r="B559" s="2" t="s">
        <v>21</v>
      </c>
      <c r="C559" s="2" t="s">
        <v>20</v>
      </c>
      <c r="D559" s="2" t="s">
        <v>99</v>
      </c>
      <c r="E559" s="2" t="s">
        <v>3</v>
      </c>
      <c r="F559" s="2" t="s">
        <v>4</v>
      </c>
      <c r="G559" s="4" t="s">
        <v>43</v>
      </c>
      <c r="H559" s="2" t="str">
        <f t="shared" ref="H559:M559" si="100">B559</f>
        <v>Fraction</v>
      </c>
      <c r="I559" s="2" t="str">
        <f t="shared" si="100"/>
        <v>Sub-fraction</v>
      </c>
      <c r="J559" s="2" t="str">
        <f t="shared" si="100"/>
        <v>Name</v>
      </c>
      <c r="K559" s="2" t="str">
        <f t="shared" si="100"/>
        <v>Value</v>
      </c>
      <c r="L559" s="2" t="str">
        <f t="shared" si="100"/>
        <v>Unit</v>
      </c>
      <c r="M559" s="2" t="str">
        <f t="shared" si="100"/>
        <v>Equation</v>
      </c>
      <c r="N559" s="14"/>
    </row>
    <row r="560" spans="1:14" ht="15" customHeight="1" x14ac:dyDescent="0.2">
      <c r="A560" s="14"/>
      <c r="B560" s="220" t="s">
        <v>14</v>
      </c>
      <c r="C560" s="6" t="str">
        <f>C537</f>
        <v>PET</v>
      </c>
      <c r="D560" t="s">
        <v>718</v>
      </c>
      <c r="E560">
        <f>0</f>
        <v>0</v>
      </c>
      <c r="F560" t="s">
        <v>10</v>
      </c>
      <c r="G560" s="32" t="str">
        <f>$B$372&amp;" * "&amp;D298</f>
        <v>bottle_carbon * bottle_PET_INC_ASH_mass_mechanical</v>
      </c>
      <c r="H560" s="220" t="str">
        <f>B560</f>
        <v>Bottle</v>
      </c>
      <c r="I560" s="6" t="str">
        <f>C560</f>
        <v>PET</v>
      </c>
      <c r="J560" t="s">
        <v>738</v>
      </c>
      <c r="K560" s="33">
        <f t="shared" ref="K560:K570" si="101">E537-E560</f>
        <v>60.073683072000009</v>
      </c>
      <c r="L560" t="s">
        <v>10</v>
      </c>
      <c r="M560" t="str">
        <f>D537&amp;" - "&amp;D560</f>
        <v>bottle_PET_INC_tot_carbon_mechanical - bottle_PET_INC_ASH_carbon_mechanical</v>
      </c>
      <c r="N560" s="14" t="s">
        <v>1005</v>
      </c>
    </row>
    <row r="561" spans="1:14" ht="15" customHeight="1" x14ac:dyDescent="0.2">
      <c r="A561" s="14"/>
      <c r="B561" s="220"/>
      <c r="C561" s="6" t="str">
        <f t="shared" ref="C561:C579" si="102">C538</f>
        <v>PE</v>
      </c>
      <c r="D561" t="s">
        <v>719</v>
      </c>
      <c r="E561">
        <f>0</f>
        <v>0</v>
      </c>
      <c r="F561" t="str">
        <f>F560</f>
        <v>kg ww</v>
      </c>
      <c r="G561" s="32" t="str">
        <f>$B$372&amp;" * "&amp;D299</f>
        <v>bottle_carbon * bottle_PE_INC_ASH_mass_mechanical</v>
      </c>
      <c r="H561" s="220"/>
      <c r="I561" s="6" t="str">
        <f t="shared" ref="I561:I579" si="103">C561</f>
        <v>PE</v>
      </c>
      <c r="J561" t="s">
        <v>739</v>
      </c>
      <c r="K561" s="33">
        <f t="shared" si="101"/>
        <v>12.675468287999996</v>
      </c>
      <c r="L561" t="str">
        <f>L560</f>
        <v>kg ww</v>
      </c>
      <c r="M561" t="str">
        <f t="shared" ref="M561:M579" si="104">D538&amp;" - "&amp;D561</f>
        <v>bottle_PE_INC_tot_carbon_mechanical - bottle_PE_INC_ASH_carbon_mechanical</v>
      </c>
      <c r="N561" s="14" t="s">
        <v>1005</v>
      </c>
    </row>
    <row r="562" spans="1:14" ht="15" customHeight="1" x14ac:dyDescent="0.2">
      <c r="A562" s="14"/>
      <c r="B562" s="220"/>
      <c r="C562" s="6" t="str">
        <f t="shared" si="102"/>
        <v>PP</v>
      </c>
      <c r="D562" t="s">
        <v>720</v>
      </c>
      <c r="E562">
        <f>0</f>
        <v>0</v>
      </c>
      <c r="F562" t="str">
        <f>F561</f>
        <v>kg ww</v>
      </c>
      <c r="G562" s="32" t="str">
        <f>$B$372&amp;" * "&amp;D300</f>
        <v>bottle_carbon * bottle_PP_INC_ASH_mass_mechanical</v>
      </c>
      <c r="H562" s="220"/>
      <c r="I562" s="6" t="str">
        <f t="shared" si="103"/>
        <v>PP</v>
      </c>
      <c r="J562" t="s">
        <v>740</v>
      </c>
      <c r="K562" s="33">
        <f t="shared" si="101"/>
        <v>0</v>
      </c>
      <c r="L562" t="str">
        <f>L561</f>
        <v>kg ww</v>
      </c>
      <c r="M562" t="str">
        <f t="shared" si="104"/>
        <v>bottle_PP_INC_tot_carbon_mechanical - bottle_PP_INC_ASH_carbon_mechanical</v>
      </c>
      <c r="N562" s="14" t="s">
        <v>1005</v>
      </c>
    </row>
    <row r="563" spans="1:14" ht="15" customHeight="1" x14ac:dyDescent="0.2">
      <c r="A563" s="14"/>
      <c r="B563" s="220"/>
      <c r="C563" s="6" t="str">
        <f t="shared" si="102"/>
        <v>PS</v>
      </c>
      <c r="D563" t="s">
        <v>721</v>
      </c>
      <c r="E563">
        <f>0</f>
        <v>0</v>
      </c>
      <c r="F563" t="str">
        <f t="shared" ref="F563:F579" si="105">F562</f>
        <v>kg ww</v>
      </c>
      <c r="G563" s="32" t="str">
        <f>$B$372&amp;" * "&amp;D301</f>
        <v>bottle_carbon * bottle_PS_INC_ASH_mass_mechanical</v>
      </c>
      <c r="H563" s="220"/>
      <c r="I563" s="6" t="str">
        <f t="shared" si="103"/>
        <v>PS</v>
      </c>
      <c r="J563" t="s">
        <v>741</v>
      </c>
      <c r="K563" s="33">
        <f t="shared" si="101"/>
        <v>0</v>
      </c>
      <c r="L563" t="str">
        <f t="shared" ref="L563:L579" si="106">L562</f>
        <v>kg ww</v>
      </c>
      <c r="M563" t="str">
        <f t="shared" si="104"/>
        <v>bottle_PS_INC_tot_carbon_mechanical - bottle_PS_INC_ASH_carbon_mechanical</v>
      </c>
      <c r="N563" s="14" t="s">
        <v>1005</v>
      </c>
    </row>
    <row r="564" spans="1:14" ht="15" customHeight="1" x14ac:dyDescent="0.2">
      <c r="A564" s="14"/>
      <c r="B564" s="220"/>
      <c r="C564" s="6" t="str">
        <f t="shared" si="102"/>
        <v>Other</v>
      </c>
      <c r="D564" t="s">
        <v>722</v>
      </c>
      <c r="E564">
        <f>0</f>
        <v>0</v>
      </c>
      <c r="F564" t="str">
        <f>F563</f>
        <v>kg ww</v>
      </c>
      <c r="G564" s="32" t="str">
        <f>$B$372&amp;" * "&amp;D302</f>
        <v>bottle_carbon * bottle_Oth_INC_ASH_mass_mechanical</v>
      </c>
      <c r="H564" s="220"/>
      <c r="I564" s="6" t="str">
        <f t="shared" si="103"/>
        <v>Other</v>
      </c>
      <c r="J564" t="s">
        <v>742</v>
      </c>
      <c r="K564" s="33">
        <f t="shared" si="101"/>
        <v>0</v>
      </c>
      <c r="L564" t="str">
        <f>L563</f>
        <v>kg ww</v>
      </c>
      <c r="M564" t="str">
        <f t="shared" si="104"/>
        <v>bottle_oth_INC_tot_carbon_mechanical - bottle_Oth_INC_ASH_carbon_mechanical</v>
      </c>
      <c r="N564" s="14" t="s">
        <v>1005</v>
      </c>
    </row>
    <row r="565" spans="1:14" ht="15" customHeight="1" x14ac:dyDescent="0.2">
      <c r="A565" s="14"/>
      <c r="B565" s="220" t="s">
        <v>15</v>
      </c>
      <c r="C565" s="6" t="str">
        <f t="shared" si="102"/>
        <v>PET</v>
      </c>
      <c r="D565" t="s">
        <v>723</v>
      </c>
      <c r="E565">
        <f>0</f>
        <v>0</v>
      </c>
      <c r="F565" t="str">
        <f t="shared" si="105"/>
        <v>kg ww</v>
      </c>
      <c r="G565" s="32" t="str">
        <f>$B$373&amp;" * "&amp;D303</f>
        <v>rigid_carbon * rigid_PET_INC_ASH_mass_mechanical</v>
      </c>
      <c r="H565" s="220" t="s">
        <v>15</v>
      </c>
      <c r="I565" s="6" t="str">
        <f t="shared" si="103"/>
        <v>PET</v>
      </c>
      <c r="J565" t="s">
        <v>743</v>
      </c>
      <c r="K565" s="33">
        <f t="shared" si="101"/>
        <v>11.697004176000004</v>
      </c>
      <c r="L565" t="str">
        <f t="shared" si="106"/>
        <v>kg ww</v>
      </c>
      <c r="M565" t="str">
        <f t="shared" si="104"/>
        <v>rigid_PET_INC_tot_carbon_mechanical - rigid_PET_INC_ASH_carbon_mechanical</v>
      </c>
      <c r="N565" s="14" t="s">
        <v>1005</v>
      </c>
    </row>
    <row r="566" spans="1:14" ht="15" customHeight="1" x14ac:dyDescent="0.2">
      <c r="A566" s="14"/>
      <c r="B566" s="220"/>
      <c r="C566" s="6" t="str">
        <f t="shared" si="102"/>
        <v>PE</v>
      </c>
      <c r="D566" t="s">
        <v>724</v>
      </c>
      <c r="E566">
        <f>0</f>
        <v>0</v>
      </c>
      <c r="F566" t="str">
        <f t="shared" si="105"/>
        <v>kg ww</v>
      </c>
      <c r="G566" s="32" t="str">
        <f>$B$373&amp;" * "&amp;D304</f>
        <v>rigid_carbon * rigid_PE_INC_ASH_mass_mechanical</v>
      </c>
      <c r="H566" s="220"/>
      <c r="I566" s="6" t="str">
        <f t="shared" si="103"/>
        <v>PE</v>
      </c>
      <c r="J566" t="s">
        <v>744</v>
      </c>
      <c r="K566" s="33">
        <f t="shared" si="101"/>
        <v>7.5447662399999986</v>
      </c>
      <c r="L566" t="str">
        <f t="shared" si="106"/>
        <v>kg ww</v>
      </c>
      <c r="M566" t="str">
        <f t="shared" si="104"/>
        <v>rigid_PE_INC_tot_carbon_mechanical - rigid_PE_INC_ASH_carbon_mechanical</v>
      </c>
      <c r="N566" s="14" t="s">
        <v>1005</v>
      </c>
    </row>
    <row r="567" spans="1:14" ht="15" customHeight="1" x14ac:dyDescent="0.2">
      <c r="A567" s="14"/>
      <c r="B567" s="220"/>
      <c r="C567" s="6" t="str">
        <f t="shared" si="102"/>
        <v>PP</v>
      </c>
      <c r="D567" t="s">
        <v>725</v>
      </c>
      <c r="E567">
        <f>0</f>
        <v>0</v>
      </c>
      <c r="F567" t="str">
        <f t="shared" si="105"/>
        <v>kg ww</v>
      </c>
      <c r="G567" s="32" t="str">
        <f>$B$373&amp;" * "&amp;D305</f>
        <v>rigid_carbon * rigid_PP_INC_ASH_mass_mechanical</v>
      </c>
      <c r="H567" s="220"/>
      <c r="I567" s="6" t="str">
        <f t="shared" si="103"/>
        <v>PP</v>
      </c>
      <c r="J567" t="s">
        <v>745</v>
      </c>
      <c r="K567" s="33">
        <f t="shared" si="101"/>
        <v>25.361619360000002</v>
      </c>
      <c r="L567" t="str">
        <f t="shared" si="106"/>
        <v>kg ww</v>
      </c>
      <c r="M567" t="str">
        <f t="shared" si="104"/>
        <v>rigid_PP_INC_tot_carbon_mechanical - rigid_PP_INC_ASH_carbon_mechanical</v>
      </c>
      <c r="N567" s="14" t="s">
        <v>1005</v>
      </c>
    </row>
    <row r="568" spans="1:14" ht="15" customHeight="1" x14ac:dyDescent="0.2">
      <c r="A568" s="14"/>
      <c r="B568" s="220"/>
      <c r="C568" s="6" t="str">
        <f t="shared" si="102"/>
        <v>PS</v>
      </c>
      <c r="D568" t="s">
        <v>726</v>
      </c>
      <c r="E568">
        <f>0</f>
        <v>0</v>
      </c>
      <c r="F568" t="str">
        <f t="shared" si="105"/>
        <v>kg ww</v>
      </c>
      <c r="G568" s="32" t="str">
        <f>$B$373&amp;" * "&amp;D306</f>
        <v>rigid_carbon * rigid_PS_INC_ASH_mass_mechanical</v>
      </c>
      <c r="H568" s="220"/>
      <c r="I568" s="6" t="str">
        <f t="shared" si="103"/>
        <v>PS</v>
      </c>
      <c r="J568" t="s">
        <v>746</v>
      </c>
      <c r="K568" s="33">
        <f t="shared" si="101"/>
        <v>4.3149629371200007</v>
      </c>
      <c r="L568" t="str">
        <f t="shared" si="106"/>
        <v>kg ww</v>
      </c>
      <c r="M568" t="str">
        <f t="shared" si="104"/>
        <v>rigid_PS_INC_tot_carbon_mechanical - rigid_PS_INC_ASH_carbon_mechanical</v>
      </c>
      <c r="N568" s="14" t="s">
        <v>1005</v>
      </c>
    </row>
    <row r="569" spans="1:14" ht="15" customHeight="1" x14ac:dyDescent="0.2">
      <c r="A569" s="14"/>
      <c r="B569" s="220"/>
      <c r="C569" s="6" t="str">
        <f t="shared" si="102"/>
        <v>Other</v>
      </c>
      <c r="D569" t="s">
        <v>727</v>
      </c>
      <c r="E569">
        <f>0</f>
        <v>0</v>
      </c>
      <c r="F569" t="str">
        <f t="shared" si="105"/>
        <v>kg ww</v>
      </c>
      <c r="G569" s="32" t="str">
        <f>$B$373&amp;" * "&amp;D307</f>
        <v>rigid_carbon * rigid_Oth_INC_ASH_mass_mechanical</v>
      </c>
      <c r="H569" s="220"/>
      <c r="I569" s="6" t="str">
        <f t="shared" si="103"/>
        <v>Other</v>
      </c>
      <c r="J569" t="s">
        <v>747</v>
      </c>
      <c r="K569" s="33">
        <f t="shared" si="101"/>
        <v>21.574814685599996</v>
      </c>
      <c r="L569" t="str">
        <f t="shared" si="106"/>
        <v>kg ww</v>
      </c>
      <c r="M569" t="str">
        <f t="shared" si="104"/>
        <v>rigid_Oth_INC_tot_carbon_mechanical - rigid_Oth_INC_ASH_carbon_mechanical</v>
      </c>
      <c r="N569" s="14" t="s">
        <v>1005</v>
      </c>
    </row>
    <row r="570" spans="1:14" ht="15" customHeight="1" x14ac:dyDescent="0.2">
      <c r="A570" s="14"/>
      <c r="B570" s="220" t="s">
        <v>42</v>
      </c>
      <c r="C570" s="6" t="str">
        <f t="shared" si="102"/>
        <v>PET</v>
      </c>
      <c r="D570" t="s">
        <v>728</v>
      </c>
      <c r="E570">
        <f>0</f>
        <v>0</v>
      </c>
      <c r="F570" t="str">
        <f t="shared" si="105"/>
        <v>kg ww</v>
      </c>
      <c r="G570" s="32" t="str">
        <f>$B$374&amp;" * "&amp;D308</f>
        <v>soft_carbon * soft_PET_INC_ASH_mass_mechanical</v>
      </c>
      <c r="H570" s="220" t="s">
        <v>42</v>
      </c>
      <c r="I570" s="6" t="str">
        <f t="shared" si="103"/>
        <v>PET</v>
      </c>
      <c r="J570" t="s">
        <v>748</v>
      </c>
      <c r="K570" s="33">
        <f t="shared" si="101"/>
        <v>0</v>
      </c>
      <c r="L570" t="str">
        <f t="shared" si="106"/>
        <v>kg ww</v>
      </c>
      <c r="M570" t="str">
        <f t="shared" si="104"/>
        <v>soft_PET_INC_tot_carbon_mechanical - soft_PET_INC_ASH_carbon_mechanical</v>
      </c>
      <c r="N570" s="14" t="s">
        <v>1005</v>
      </c>
    </row>
    <row r="571" spans="1:14" ht="15" customHeight="1" x14ac:dyDescent="0.2">
      <c r="A571" s="14"/>
      <c r="B571" s="220"/>
      <c r="C571" s="6" t="str">
        <f t="shared" si="102"/>
        <v>PE</v>
      </c>
      <c r="D571" t="s">
        <v>729</v>
      </c>
      <c r="E571">
        <f>0</f>
        <v>0</v>
      </c>
      <c r="F571" t="str">
        <f t="shared" si="105"/>
        <v>kg ww</v>
      </c>
      <c r="G571" s="32" t="str">
        <f>$B$374&amp;" * "&amp;D309</f>
        <v>soft_carbon * soft_PE_INC_ASH_mass_mechanical</v>
      </c>
      <c r="H571" s="220"/>
      <c r="I571" s="6" t="str">
        <f t="shared" si="103"/>
        <v>PE</v>
      </c>
      <c r="J571" t="s">
        <v>749</v>
      </c>
      <c r="K571" s="33">
        <f t="shared" ref="K571:K574" si="107">E548-E571</f>
        <v>68.712549696000011</v>
      </c>
      <c r="L571" t="str">
        <f t="shared" si="106"/>
        <v>kg ww</v>
      </c>
      <c r="M571" t="str">
        <f t="shared" si="104"/>
        <v>soft_PE_INC_tot_carbon_mechanical - soft_PE_INC_ASH_carbon_mechanical</v>
      </c>
      <c r="N571" s="14" t="s">
        <v>1005</v>
      </c>
    </row>
    <row r="572" spans="1:14" ht="15" customHeight="1" x14ac:dyDescent="0.2">
      <c r="A572" s="14"/>
      <c r="B572" s="220"/>
      <c r="C572" s="6" t="str">
        <f t="shared" si="102"/>
        <v>PP</v>
      </c>
      <c r="D572" t="s">
        <v>730</v>
      </c>
      <c r="E572">
        <f>0</f>
        <v>0</v>
      </c>
      <c r="F572" t="str">
        <f t="shared" si="105"/>
        <v>kg ww</v>
      </c>
      <c r="G572" s="32" t="str">
        <f>$B$374&amp;" * "&amp;D310</f>
        <v>soft_carbon * soft_PP_INC_ASH_mass_mechanical</v>
      </c>
      <c r="H572" s="220"/>
      <c r="I572" s="6" t="str">
        <f t="shared" si="103"/>
        <v>PP</v>
      </c>
      <c r="J572" t="s">
        <v>750</v>
      </c>
      <c r="K572" s="33">
        <f t="shared" si="107"/>
        <v>0</v>
      </c>
      <c r="L572" t="str">
        <f t="shared" si="106"/>
        <v>kg ww</v>
      </c>
      <c r="M572" t="str">
        <f t="shared" si="104"/>
        <v>soft_PP_INC_tot_carbon_mechanical - soft_PP_INC_ASH_carbon_mechanical</v>
      </c>
      <c r="N572" s="14" t="s">
        <v>1006</v>
      </c>
    </row>
    <row r="573" spans="1:14" ht="15" customHeight="1" x14ac:dyDescent="0.2">
      <c r="A573" s="14"/>
      <c r="B573" s="220"/>
      <c r="C573" s="6" t="str">
        <f t="shared" si="102"/>
        <v>PS</v>
      </c>
      <c r="D573" t="s">
        <v>731</v>
      </c>
      <c r="E573">
        <f>0</f>
        <v>0</v>
      </c>
      <c r="F573" t="str">
        <f t="shared" si="105"/>
        <v>kg ww</v>
      </c>
      <c r="G573" s="32" t="str">
        <f>$B$374&amp;" * "&amp;D311</f>
        <v>soft_carbon * soft_PS_INC_ASH_mass_mechanical</v>
      </c>
      <c r="H573" s="220"/>
      <c r="I573" s="6" t="str">
        <f t="shared" si="103"/>
        <v>PS</v>
      </c>
      <c r="J573" t="s">
        <v>751</v>
      </c>
      <c r="K573" s="33">
        <f t="shared" si="107"/>
        <v>0</v>
      </c>
      <c r="L573" t="str">
        <f t="shared" si="106"/>
        <v>kg ww</v>
      </c>
      <c r="M573" t="str">
        <f t="shared" si="104"/>
        <v>soft_PS_INC_tot_carbon_mechanical - soft_PS_INC_ASH_carbon_mechanical</v>
      </c>
      <c r="N573" s="14"/>
    </row>
    <row r="574" spans="1:14" ht="15" customHeight="1" x14ac:dyDescent="0.2">
      <c r="A574" s="14"/>
      <c r="B574" s="220"/>
      <c r="C574" s="6" t="str">
        <f t="shared" si="102"/>
        <v>Other</v>
      </c>
      <c r="D574" t="s">
        <v>732</v>
      </c>
      <c r="E574">
        <f>0</f>
        <v>0</v>
      </c>
      <c r="F574" t="str">
        <f t="shared" si="105"/>
        <v>kg ww</v>
      </c>
      <c r="G574" s="32" t="str">
        <f>$B$374&amp;" * "&amp;D312</f>
        <v>soft_carbon * soft_Oth_INC_ASH_mass_mechanical</v>
      </c>
      <c r="H574" s="220"/>
      <c r="I574" s="6" t="str">
        <f t="shared" si="103"/>
        <v>Other</v>
      </c>
      <c r="J574" t="s">
        <v>752</v>
      </c>
      <c r="K574" s="33">
        <f t="shared" si="107"/>
        <v>39.297719216448016</v>
      </c>
      <c r="L574" t="str">
        <f t="shared" si="106"/>
        <v>kg ww</v>
      </c>
      <c r="M574" t="str">
        <f t="shared" si="104"/>
        <v>soft_Oth_INC_tot_carbon_mechanical - soft_Oth_INC_ASH_carbon_mechanical</v>
      </c>
      <c r="N574" s="14" t="s">
        <v>1005</v>
      </c>
    </row>
    <row r="575" spans="1:14" ht="15" customHeight="1" x14ac:dyDescent="0.2">
      <c r="A575" s="14"/>
      <c r="B575" s="220" t="s">
        <v>19</v>
      </c>
      <c r="C575" s="6" t="str">
        <f t="shared" si="102"/>
        <v>PET</v>
      </c>
      <c r="D575" t="s">
        <v>733</v>
      </c>
      <c r="E575">
        <f>0</f>
        <v>0</v>
      </c>
      <c r="F575" t="str">
        <f>F574</f>
        <v>kg ww</v>
      </c>
      <c r="G575" s="32" t="str">
        <f>$B$375&amp;" * "&amp;D313</f>
        <v>nonrec_carbon * other_PET_INC_ASH_mass_mechanical</v>
      </c>
      <c r="H575" s="220" t="s">
        <v>19</v>
      </c>
      <c r="I575" s="6" t="str">
        <f t="shared" si="103"/>
        <v>PET</v>
      </c>
      <c r="J575" t="s">
        <v>753</v>
      </c>
      <c r="K575" s="33">
        <f>E552-E575</f>
        <v>0</v>
      </c>
      <c r="L575" t="str">
        <f>L574</f>
        <v>kg ww</v>
      </c>
      <c r="M575" t="str">
        <f t="shared" si="104"/>
        <v>soft_PET_INC_tot_carbon_mechanical - other_PET_INC_ASH_carbon_mechanical</v>
      </c>
      <c r="N575" s="14" t="s">
        <v>1005</v>
      </c>
    </row>
    <row r="576" spans="1:14" ht="15" customHeight="1" x14ac:dyDescent="0.2">
      <c r="A576" s="14"/>
      <c r="B576" s="220"/>
      <c r="C576" s="6" t="str">
        <f t="shared" si="102"/>
        <v>PE</v>
      </c>
      <c r="D576" t="s">
        <v>734</v>
      </c>
      <c r="E576">
        <f>0</f>
        <v>0</v>
      </c>
      <c r="F576" t="str">
        <f t="shared" si="105"/>
        <v>kg ww</v>
      </c>
      <c r="G576" s="32" t="str">
        <f>$B$375&amp;" * "&amp;D314</f>
        <v>nonrec_carbon * other_PE_INC_ASH_mass_mechanical</v>
      </c>
      <c r="H576" s="220"/>
      <c r="I576" s="6" t="str">
        <f t="shared" si="103"/>
        <v>PE</v>
      </c>
      <c r="J576" t="s">
        <v>754</v>
      </c>
      <c r="K576" s="33">
        <f>E553-E576</f>
        <v>0</v>
      </c>
      <c r="L576" t="str">
        <f t="shared" si="106"/>
        <v>kg ww</v>
      </c>
      <c r="M576" t="str">
        <f t="shared" si="104"/>
        <v>soft_PE_INC_tot_carbon_mechanical - other_PE_INC_ASH_carbon_mechanical</v>
      </c>
      <c r="N576" s="14" t="s">
        <v>1006</v>
      </c>
    </row>
    <row r="577" spans="1:14" ht="15" customHeight="1" x14ac:dyDescent="0.2">
      <c r="A577" s="14"/>
      <c r="B577" s="220"/>
      <c r="C577" s="6" t="str">
        <f t="shared" si="102"/>
        <v>PP</v>
      </c>
      <c r="D577" t="s">
        <v>735</v>
      </c>
      <c r="E577">
        <f>0</f>
        <v>0</v>
      </c>
      <c r="F577" t="str">
        <f t="shared" si="105"/>
        <v>kg ww</v>
      </c>
      <c r="G577" s="32" t="str">
        <f>$B$375&amp;" * "&amp;D315</f>
        <v>nonrec_carbon * other_PP_INC_ASH_mass_mechanical</v>
      </c>
      <c r="H577" s="220"/>
      <c r="I577" s="6" t="str">
        <f t="shared" si="103"/>
        <v>PP</v>
      </c>
      <c r="J577" t="s">
        <v>755</v>
      </c>
      <c r="K577" s="33">
        <f>E554-E577</f>
        <v>0</v>
      </c>
      <c r="L577" t="str">
        <f t="shared" si="106"/>
        <v>kg ww</v>
      </c>
      <c r="M577" t="str">
        <f t="shared" si="104"/>
        <v>soft_PP_INC_tot_carbon_mechanical - other_PP_INC_ASH_carbon_mechanical</v>
      </c>
      <c r="N577" s="14" t="s">
        <v>1005</v>
      </c>
    </row>
    <row r="578" spans="1:14" ht="15" customHeight="1" x14ac:dyDescent="0.2">
      <c r="A578" s="14"/>
      <c r="B578" s="220"/>
      <c r="C578" s="6" t="str">
        <f t="shared" si="102"/>
        <v>PS</v>
      </c>
      <c r="D578" t="s">
        <v>736</v>
      </c>
      <c r="E578">
        <f>0</f>
        <v>0</v>
      </c>
      <c r="F578" t="str">
        <f>F577</f>
        <v>kg ww</v>
      </c>
      <c r="G578" s="32" t="str">
        <f>$B$375&amp;" * "&amp;D316</f>
        <v>nonrec_carbon * other_PS_INC_ASH_mass_mechanical</v>
      </c>
      <c r="H578" s="220"/>
      <c r="I578" s="6" t="str">
        <f t="shared" si="103"/>
        <v>PS</v>
      </c>
      <c r="J578" t="s">
        <v>756</v>
      </c>
      <c r="K578" s="33">
        <f>E555-E578</f>
        <v>0</v>
      </c>
      <c r="L578" t="str">
        <f>L577</f>
        <v>kg ww</v>
      </c>
      <c r="M578" t="str">
        <f t="shared" si="104"/>
        <v>soft_PS_INC_tot_carbon_mechanical - other_PS_INC_ASH_carbon_mechanical</v>
      </c>
      <c r="N578" s="14" t="s">
        <v>1005</v>
      </c>
    </row>
    <row r="579" spans="1:14" ht="15" customHeight="1" x14ac:dyDescent="0.2">
      <c r="A579" s="14"/>
      <c r="B579" s="227"/>
      <c r="C579" s="60" t="str">
        <f t="shared" si="102"/>
        <v>Other</v>
      </c>
      <c r="D579" s="44" t="s">
        <v>737</v>
      </c>
      <c r="E579" s="44">
        <f>0</f>
        <v>0</v>
      </c>
      <c r="F579" s="44" t="str">
        <f t="shared" si="105"/>
        <v>kg ww</v>
      </c>
      <c r="G579" s="61" t="str">
        <f>$B$375&amp;" * "&amp;D317</f>
        <v>nonrec_carbon * other_Oth_INC_ASH_mass_mechanical</v>
      </c>
      <c r="H579" s="227"/>
      <c r="I579" s="6" t="str">
        <f t="shared" si="103"/>
        <v>Other</v>
      </c>
      <c r="J579" t="s">
        <v>757</v>
      </c>
      <c r="K579" s="33">
        <f>E556-E579</f>
        <v>65.587399999999946</v>
      </c>
      <c r="L579" t="str">
        <f t="shared" si="106"/>
        <v>kg ww</v>
      </c>
      <c r="M579" t="str">
        <f t="shared" si="104"/>
        <v>soft_Oth_INC_tot_carbon_mechanical - other_Oth_INC_ASH_carbon_mechanical</v>
      </c>
      <c r="N579" s="15" t="s">
        <v>1005</v>
      </c>
    </row>
    <row r="580" spans="1:14" ht="25" customHeight="1" x14ac:dyDescent="0.2">
      <c r="A580" s="15"/>
      <c r="B580" s="214" t="s">
        <v>166</v>
      </c>
      <c r="C580" s="214"/>
      <c r="D580" s="214"/>
      <c r="E580" s="214"/>
      <c r="F580" s="214"/>
      <c r="G580" s="214"/>
      <c r="H580" s="214"/>
      <c r="I580" s="214"/>
      <c r="J580" s="214"/>
      <c r="K580" s="214"/>
      <c r="L580" s="214"/>
      <c r="M580" s="214"/>
      <c r="N580" s="14"/>
    </row>
    <row r="581" spans="1:14" ht="15" customHeight="1" x14ac:dyDescent="0.2">
      <c r="A581" s="14"/>
      <c r="B581" s="2" t="str">
        <f>B525</f>
        <v>Parameter</v>
      </c>
      <c r="C581" s="2" t="str">
        <f>C525</f>
        <v>Value</v>
      </c>
      <c r="D581" s="2" t="str">
        <f>D525</f>
        <v>Unit</v>
      </c>
      <c r="E581" s="2" t="str">
        <f>E525</f>
        <v>Description</v>
      </c>
      <c r="F581" s="2"/>
      <c r="G581" s="1"/>
      <c r="H581" s="2" t="str">
        <f>B581</f>
        <v>Parameter</v>
      </c>
      <c r="I581" s="2" t="str">
        <f t="shared" ref="I581:K581" si="108">C581</f>
        <v>Value</v>
      </c>
      <c r="J581" s="2" t="str">
        <f t="shared" si="108"/>
        <v>Unit</v>
      </c>
      <c r="K581" s="2" t="str">
        <f t="shared" si="108"/>
        <v>Description</v>
      </c>
      <c r="L581" s="2"/>
      <c r="M581" s="2"/>
      <c r="N581" s="14"/>
    </row>
    <row r="582" spans="1:14" ht="15" customHeight="1" x14ac:dyDescent="0.2">
      <c r="A582" s="14"/>
      <c r="B582" t="s">
        <v>175</v>
      </c>
      <c r="C582">
        <f>SUM(E560:E564)</f>
        <v>0</v>
      </c>
      <c r="D582" t="s">
        <v>126</v>
      </c>
      <c r="E582" t="s">
        <v>1110</v>
      </c>
      <c r="G582" s="32"/>
      <c r="H582" t="s">
        <v>758</v>
      </c>
      <c r="I582" s="33">
        <f>SUM(K560:K564)</f>
        <v>72.749151359999999</v>
      </c>
      <c r="J582" t="s">
        <v>10</v>
      </c>
      <c r="K582" t="s">
        <v>1115</v>
      </c>
      <c r="N582" s="14"/>
    </row>
    <row r="583" spans="1:14" ht="15" customHeight="1" x14ac:dyDescent="0.2">
      <c r="A583" s="14"/>
      <c r="B583" t="s">
        <v>176</v>
      </c>
      <c r="C583">
        <f>SUM(E565:E569)</f>
        <v>0</v>
      </c>
      <c r="D583" t="str">
        <f>D582</f>
        <v xml:space="preserve">kg </v>
      </c>
      <c r="E583" t="s">
        <v>1111</v>
      </c>
      <c r="G583" s="32"/>
      <c r="H583" t="s">
        <v>759</v>
      </c>
      <c r="I583" s="33">
        <f>SUM(K565:K569)</f>
        <v>70.493167398720004</v>
      </c>
      <c r="J583" t="str">
        <f>J582</f>
        <v>kg ww</v>
      </c>
      <c r="K583" t="s">
        <v>1116</v>
      </c>
      <c r="N583" s="14"/>
    </row>
    <row r="584" spans="1:14" ht="15" customHeight="1" x14ac:dyDescent="0.2">
      <c r="A584" s="14"/>
      <c r="B584" t="s">
        <v>177</v>
      </c>
      <c r="C584">
        <f>SUM(E570:E574)</f>
        <v>0</v>
      </c>
      <c r="D584" t="str">
        <f t="shared" ref="D584" si="109">D583</f>
        <v xml:space="preserve">kg </v>
      </c>
      <c r="E584" t="s">
        <v>1112</v>
      </c>
      <c r="G584" s="32"/>
      <c r="H584" t="s">
        <v>760</v>
      </c>
      <c r="I584" s="33">
        <f>SUM(K570:K574)</f>
        <v>108.01026891244803</v>
      </c>
      <c r="J584" t="str">
        <f t="shared" ref="J584:J585" si="110">J583</f>
        <v>kg ww</v>
      </c>
      <c r="K584" t="s">
        <v>1117</v>
      </c>
      <c r="N584" s="14"/>
    </row>
    <row r="585" spans="1:14" ht="15" customHeight="1" thickBot="1" x14ac:dyDescent="0.25">
      <c r="A585" s="14"/>
      <c r="B585" s="8" t="s">
        <v>178</v>
      </c>
      <c r="C585" s="8">
        <f>SUM(E575:E579)</f>
        <v>0</v>
      </c>
      <c r="D585" s="8" t="str">
        <f>D584</f>
        <v xml:space="preserve">kg </v>
      </c>
      <c r="E585" s="8" t="s">
        <v>1113</v>
      </c>
      <c r="F585" s="8"/>
      <c r="G585" s="87"/>
      <c r="H585" s="8" t="s">
        <v>761</v>
      </c>
      <c r="I585" s="34">
        <f>SUM(K575:K579)</f>
        <v>65.587399999999946</v>
      </c>
      <c r="J585" s="8" t="str">
        <f t="shared" si="110"/>
        <v>kg ww</v>
      </c>
      <c r="K585" s="8" t="s">
        <v>1118</v>
      </c>
      <c r="L585" s="8"/>
      <c r="M585" s="8"/>
      <c r="N585" s="14"/>
    </row>
    <row r="586" spans="1:14" ht="15" customHeight="1" thickTop="1" x14ac:dyDescent="0.2">
      <c r="A586" s="14"/>
      <c r="B586" s="44" t="s">
        <v>179</v>
      </c>
      <c r="C586" s="44">
        <f>SUM(C582:C585)</f>
        <v>0</v>
      </c>
      <c r="D586" s="44" t="str">
        <f>D584</f>
        <v xml:space="preserve">kg </v>
      </c>
      <c r="E586" s="44" t="s">
        <v>1114</v>
      </c>
      <c r="F586" s="44"/>
      <c r="G586" s="61"/>
      <c r="H586" s="44" t="s">
        <v>762</v>
      </c>
      <c r="I586" s="62">
        <f>SUM(I582:I585)</f>
        <v>316.83998767116793</v>
      </c>
      <c r="J586" s="44" t="str">
        <f>J584</f>
        <v>kg ww</v>
      </c>
      <c r="K586" s="44" t="s">
        <v>1119</v>
      </c>
      <c r="L586" s="44"/>
      <c r="M586" s="44"/>
      <c r="N586" s="14"/>
    </row>
    <row r="587" spans="1:14" ht="15" customHeight="1" x14ac:dyDescent="0.2">
      <c r="A587" s="14"/>
      <c r="B587" s="125" t="s">
        <v>2704</v>
      </c>
      <c r="C587" s="125" t="str">
        <f>IF(I586+C586=I529+I498+I440+I405,"ture")</f>
        <v>ture</v>
      </c>
      <c r="D587" s="125"/>
      <c r="E587" s="125"/>
      <c r="F587" s="125"/>
      <c r="G587" s="125"/>
      <c r="H587" s="125"/>
      <c r="I587" s="125"/>
      <c r="J587" s="125"/>
      <c r="K587" s="125"/>
      <c r="L587" s="125"/>
      <c r="M587" s="125"/>
      <c r="N587" s="14"/>
    </row>
    <row r="588" spans="1:14" ht="15" customHeight="1" x14ac:dyDescent="0.2">
      <c r="A588" s="14"/>
      <c r="B588" s="14"/>
      <c r="C588" s="14"/>
      <c r="D588" s="14"/>
      <c r="E588" s="14"/>
      <c r="F588" s="14"/>
      <c r="G588" s="14"/>
      <c r="H588" s="14"/>
      <c r="I588" s="14"/>
      <c r="J588" s="14"/>
      <c r="K588" s="14"/>
      <c r="L588" s="14"/>
      <c r="M588" s="14"/>
      <c r="N588" s="14"/>
    </row>
    <row r="589" spans="1:14" ht="15" customHeight="1" x14ac:dyDescent="0.2">
      <c r="A589" s="14"/>
      <c r="B589" s="14"/>
      <c r="C589" s="14"/>
      <c r="D589" s="14"/>
      <c r="E589" s="14"/>
      <c r="F589" s="14"/>
      <c r="G589" s="14"/>
      <c r="H589" s="14"/>
      <c r="I589" s="14"/>
      <c r="J589" s="71"/>
      <c r="K589" s="71"/>
      <c r="L589" s="14"/>
      <c r="M589" s="14"/>
      <c r="N589" s="15"/>
    </row>
    <row r="590" spans="1:14" ht="15" customHeight="1" x14ac:dyDescent="0.2">
      <c r="A590" s="15"/>
      <c r="B590" s="14"/>
      <c r="C590" s="14"/>
      <c r="D590" s="14"/>
      <c r="E590" s="14"/>
      <c r="F590" s="14"/>
      <c r="G590" s="14"/>
      <c r="H590" s="14"/>
      <c r="I590" s="14"/>
      <c r="J590" s="14"/>
      <c r="K590" s="14"/>
      <c r="L590" s="14"/>
      <c r="M590" s="14"/>
      <c r="N590" s="15"/>
    </row>
    <row r="591" spans="1:14" ht="25" customHeight="1" x14ac:dyDescent="0.2">
      <c r="A591" s="15"/>
      <c r="B591" s="214" t="s">
        <v>2919</v>
      </c>
      <c r="C591" s="214"/>
      <c r="D591" s="214"/>
      <c r="E591" s="214"/>
      <c r="F591" s="214"/>
      <c r="G591" s="214"/>
      <c r="H591" s="214"/>
      <c r="I591" s="214"/>
      <c r="J591" s="214"/>
      <c r="K591" s="214"/>
      <c r="L591" s="214"/>
      <c r="M591" s="214"/>
      <c r="N591" s="15"/>
    </row>
    <row r="592" spans="1:14" ht="25" customHeight="1" x14ac:dyDescent="0.2">
      <c r="A592" s="15"/>
      <c r="B592" s="214" t="s">
        <v>2921</v>
      </c>
      <c r="C592" s="214"/>
      <c r="D592" s="214"/>
      <c r="E592" s="214"/>
      <c r="F592" s="214"/>
      <c r="G592" s="214"/>
      <c r="H592" s="214"/>
      <c r="I592" s="214"/>
      <c r="J592" s="214"/>
      <c r="K592" s="214"/>
      <c r="L592" s="214"/>
      <c r="M592" s="214"/>
      <c r="N592" s="14"/>
    </row>
    <row r="593" spans="1:14" ht="25" customHeight="1" x14ac:dyDescent="0.2">
      <c r="A593" s="14"/>
      <c r="B593" s="214" t="s">
        <v>2920</v>
      </c>
      <c r="C593" s="214"/>
      <c r="D593" s="214"/>
      <c r="E593" s="214"/>
      <c r="F593" s="214"/>
      <c r="G593" s="223"/>
      <c r="H593" s="214" t="s">
        <v>148</v>
      </c>
      <c r="I593" s="214"/>
      <c r="J593" s="214"/>
      <c r="K593" s="214"/>
      <c r="L593" s="214"/>
      <c r="M593" s="214"/>
      <c r="N593" s="14"/>
    </row>
    <row r="594" spans="1:14" ht="15" customHeight="1" x14ac:dyDescent="0.2">
      <c r="A594" s="14"/>
      <c r="B594" s="2" t="s">
        <v>21</v>
      </c>
      <c r="C594" s="2" t="s">
        <v>20</v>
      </c>
      <c r="D594" s="2" t="s">
        <v>99</v>
      </c>
      <c r="E594" s="2" t="s">
        <v>3</v>
      </c>
      <c r="F594" s="2" t="s">
        <v>4</v>
      </c>
      <c r="G594" s="4" t="s">
        <v>43</v>
      </c>
      <c r="H594" s="2" t="str">
        <f t="shared" ref="H594:M594" si="111">B594</f>
        <v>Fraction</v>
      </c>
      <c r="I594" s="2" t="str">
        <f t="shared" si="111"/>
        <v>Sub-fraction</v>
      </c>
      <c r="J594" s="2" t="str">
        <f t="shared" si="111"/>
        <v>Name</v>
      </c>
      <c r="K594" s="2" t="str">
        <f t="shared" si="111"/>
        <v>Value</v>
      </c>
      <c r="L594" s="2" t="str">
        <f t="shared" si="111"/>
        <v>Unit</v>
      </c>
      <c r="M594" s="2" t="str">
        <f t="shared" si="111"/>
        <v>Equation</v>
      </c>
      <c r="N594" s="14"/>
    </row>
    <row r="595" spans="1:14" ht="15" customHeight="1" x14ac:dyDescent="0.2">
      <c r="A595" s="14"/>
      <c r="B595" s="220" t="s">
        <v>14</v>
      </c>
      <c r="C595" s="6" t="str">
        <f t="shared" ref="C595:C614" si="112">C560</f>
        <v>PET</v>
      </c>
      <c r="D595" t="s">
        <v>2922</v>
      </c>
      <c r="E595" s="33">
        <f t="shared" ref="E595:E614" si="113">E335</f>
        <v>54.066314764800012</v>
      </c>
      <c r="F595" t="s">
        <v>10</v>
      </c>
      <c r="G595" s="32" t="str">
        <f>$B$372&amp;" * "&amp;D335</f>
        <v>bottle_carbon * bottle_PET_AIR_CC_mass_mechanical</v>
      </c>
      <c r="H595" s="220" t="str">
        <f>B595</f>
        <v>Bottle</v>
      </c>
      <c r="I595" s="6" t="str">
        <f>C595</f>
        <v>PET</v>
      </c>
      <c r="J595" t="s">
        <v>763</v>
      </c>
      <c r="K595" s="33">
        <f t="shared" ref="K595:K614" si="114">K560-E595</f>
        <v>6.0073683071999966</v>
      </c>
      <c r="L595" t="s">
        <v>10</v>
      </c>
      <c r="M595" t="str">
        <f>J560&amp;" - "&amp;D595</f>
        <v>bottle_PET_INC_AIR_carbon_mechanical - bottle_PET_AIR_CC_carbon_mechanical</v>
      </c>
      <c r="N595" s="14"/>
    </row>
    <row r="596" spans="1:14" ht="15" customHeight="1" x14ac:dyDescent="0.2">
      <c r="A596" s="14"/>
      <c r="B596" s="220"/>
      <c r="C596" s="6" t="str">
        <f t="shared" si="112"/>
        <v>PE</v>
      </c>
      <c r="D596" t="s">
        <v>2923</v>
      </c>
      <c r="E596" s="33">
        <f t="shared" si="113"/>
        <v>11.407921459199997</v>
      </c>
      <c r="F596" t="str">
        <f>F595</f>
        <v>kg ww</v>
      </c>
      <c r="G596" s="32" t="str">
        <f>$B$372&amp;" * "&amp;D336</f>
        <v>bottle_carbon * bottle_PE_AIR_CC_mass_mechanical</v>
      </c>
      <c r="H596" s="220"/>
      <c r="I596" s="6" t="str">
        <f t="shared" ref="I596:I614" si="115">C596</f>
        <v>PE</v>
      </c>
      <c r="J596" t="s">
        <v>764</v>
      </c>
      <c r="K596" s="33">
        <f t="shared" si="114"/>
        <v>1.2675468287999987</v>
      </c>
      <c r="L596" t="str">
        <f>L595</f>
        <v>kg ww</v>
      </c>
      <c r="M596" t="str">
        <f t="shared" ref="M596:M614" si="116">J561&amp;" - "&amp;D596</f>
        <v>bottle_PE_INC_AIR_carbon_mechanical - bottle_PE_AIR_CC_carbon_mechanical</v>
      </c>
      <c r="N596" s="14" t="s">
        <v>1005</v>
      </c>
    </row>
    <row r="597" spans="1:14" ht="15" customHeight="1" x14ac:dyDescent="0.2">
      <c r="A597" s="14"/>
      <c r="B597" s="220"/>
      <c r="C597" s="6" t="str">
        <f t="shared" si="112"/>
        <v>PP</v>
      </c>
      <c r="D597" t="s">
        <v>2924</v>
      </c>
      <c r="E597" s="33">
        <f t="shared" si="113"/>
        <v>0</v>
      </c>
      <c r="F597" t="str">
        <f t="shared" ref="F597:F614" si="117">F596</f>
        <v>kg ww</v>
      </c>
      <c r="G597" s="32" t="str">
        <f>$B$372&amp;" * "&amp;D337</f>
        <v>bottle_carbon * bottle_PP_AIR_CC_mass_mechanical</v>
      </c>
      <c r="H597" s="220"/>
      <c r="I597" s="6" t="str">
        <f t="shared" si="115"/>
        <v>PP</v>
      </c>
      <c r="J597" t="s">
        <v>765</v>
      </c>
      <c r="K597" s="33">
        <f t="shared" si="114"/>
        <v>0</v>
      </c>
      <c r="L597" t="str">
        <f t="shared" ref="L597:L614" si="118">L596</f>
        <v>kg ww</v>
      </c>
      <c r="M597" t="str">
        <f t="shared" si="116"/>
        <v>bottle_PP_INC_AIR_carbon_mechanical - bottle_PP_AIR_CC_carbon_mechanical</v>
      </c>
      <c r="N597" s="14" t="s">
        <v>1005</v>
      </c>
    </row>
    <row r="598" spans="1:14" ht="15" customHeight="1" x14ac:dyDescent="0.2">
      <c r="A598" s="14"/>
      <c r="B598" s="220"/>
      <c r="C598" s="6" t="str">
        <f t="shared" si="112"/>
        <v>PS</v>
      </c>
      <c r="D598" t="s">
        <v>2925</v>
      </c>
      <c r="E598" s="33">
        <f t="shared" si="113"/>
        <v>0</v>
      </c>
      <c r="F598" t="str">
        <f t="shared" si="117"/>
        <v>kg ww</v>
      </c>
      <c r="G598" s="32" t="str">
        <f>$B$372&amp;" * "&amp;D338</f>
        <v>bottle_carbon * bottle_PS_AIR_CC_mass_mechanical</v>
      </c>
      <c r="H598" s="220"/>
      <c r="I598" s="6" t="str">
        <f t="shared" si="115"/>
        <v>PS</v>
      </c>
      <c r="J598" t="s">
        <v>766</v>
      </c>
      <c r="K598" s="33">
        <f t="shared" si="114"/>
        <v>0</v>
      </c>
      <c r="L598" t="str">
        <f t="shared" si="118"/>
        <v>kg ww</v>
      </c>
      <c r="M598" t="str">
        <f t="shared" si="116"/>
        <v>bottle_PS_INC_AIR_carbon_mechanical - bottle_PS_AIR_CC_carbon_mechanical</v>
      </c>
      <c r="N598" s="14" t="s">
        <v>1005</v>
      </c>
    </row>
    <row r="599" spans="1:14" ht="15" customHeight="1" x14ac:dyDescent="0.2">
      <c r="A599" s="14"/>
      <c r="B599" s="220"/>
      <c r="C599" s="6" t="str">
        <f t="shared" si="112"/>
        <v>Other</v>
      </c>
      <c r="D599" t="s">
        <v>2926</v>
      </c>
      <c r="E599" s="33">
        <f t="shared" si="113"/>
        <v>0</v>
      </c>
      <c r="F599" t="str">
        <f t="shared" si="117"/>
        <v>kg ww</v>
      </c>
      <c r="G599" s="32" t="str">
        <f>$B$372&amp;" * "&amp;D339</f>
        <v>bottle_carbon * bottle_Oth_AIR_CC_mass_mechanical</v>
      </c>
      <c r="H599" s="220"/>
      <c r="I599" s="6" t="str">
        <f t="shared" si="115"/>
        <v>Other</v>
      </c>
      <c r="J599" t="s">
        <v>767</v>
      </c>
      <c r="K599" s="33">
        <f t="shared" si="114"/>
        <v>0</v>
      </c>
      <c r="L599" t="str">
        <f t="shared" si="118"/>
        <v>kg ww</v>
      </c>
      <c r="M599" t="str">
        <f t="shared" si="116"/>
        <v>bottle_Oth_INC_AIR_carbon_mechanical - bottle_Oth_AIR_CC_carbon_mechanical</v>
      </c>
      <c r="N599" s="14" t="s">
        <v>1005</v>
      </c>
    </row>
    <row r="600" spans="1:14" ht="15" customHeight="1" x14ac:dyDescent="0.2">
      <c r="A600" s="14"/>
      <c r="B600" s="220" t="s">
        <v>15</v>
      </c>
      <c r="C600" s="6" t="str">
        <f t="shared" si="112"/>
        <v>PET</v>
      </c>
      <c r="D600" t="s">
        <v>2927</v>
      </c>
      <c r="E600" s="33">
        <f t="shared" si="113"/>
        <v>10.527303758400004</v>
      </c>
      <c r="F600" t="str">
        <f t="shared" si="117"/>
        <v>kg ww</v>
      </c>
      <c r="G600" s="32" t="str">
        <f>$B$373&amp;" * "&amp;D340</f>
        <v>rigid_carbon * rigid_PET_AIR_CC_mass_mechanical</v>
      </c>
      <c r="H600" s="220" t="s">
        <v>15</v>
      </c>
      <c r="I600" s="6" t="str">
        <f t="shared" si="115"/>
        <v>PET</v>
      </c>
      <c r="J600" t="s">
        <v>768</v>
      </c>
      <c r="K600" s="33">
        <f t="shared" si="114"/>
        <v>1.1697004175999997</v>
      </c>
      <c r="L600" t="str">
        <f t="shared" si="118"/>
        <v>kg ww</v>
      </c>
      <c r="M600" t="str">
        <f t="shared" si="116"/>
        <v>rigid_PET_INC_AIR_carbon_mechanical - rigid_PET_AIR_CC_carbon_mechanical</v>
      </c>
      <c r="N600" s="14" t="s">
        <v>1005</v>
      </c>
    </row>
    <row r="601" spans="1:14" ht="15" customHeight="1" x14ac:dyDescent="0.2">
      <c r="A601" s="14"/>
      <c r="B601" s="220"/>
      <c r="C601" s="6" t="str">
        <f t="shared" si="112"/>
        <v>PE</v>
      </c>
      <c r="D601" t="s">
        <v>2928</v>
      </c>
      <c r="E601" s="33">
        <f t="shared" si="113"/>
        <v>6.790289615999999</v>
      </c>
      <c r="F601" t="str">
        <f>F600</f>
        <v>kg ww</v>
      </c>
      <c r="G601" s="32" t="str">
        <f>$B$373&amp;" * "&amp;D341</f>
        <v>rigid_carbon * rigid_PE_AIR_CC_mass_mechanical</v>
      </c>
      <c r="H601" s="220"/>
      <c r="I601" s="6" t="str">
        <f t="shared" si="115"/>
        <v>PE</v>
      </c>
      <c r="J601" t="s">
        <v>769</v>
      </c>
      <c r="K601" s="33">
        <f t="shared" si="114"/>
        <v>0.7544766239999996</v>
      </c>
      <c r="L601" t="str">
        <f>L600</f>
        <v>kg ww</v>
      </c>
      <c r="M601" t="str">
        <f t="shared" si="116"/>
        <v>rigid_PE_INC_AIR_carbon_mechanical - rigid_PE_AIR_CC_carbon_mechanical</v>
      </c>
      <c r="N601" s="14" t="s">
        <v>1005</v>
      </c>
    </row>
    <row r="602" spans="1:14" ht="15" customHeight="1" x14ac:dyDescent="0.2">
      <c r="A602" s="14"/>
      <c r="B602" s="220"/>
      <c r="C602" s="6" t="str">
        <f t="shared" si="112"/>
        <v>PP</v>
      </c>
      <c r="D602" t="s">
        <v>2929</v>
      </c>
      <c r="E602" s="33">
        <f t="shared" si="113"/>
        <v>22.825457424000003</v>
      </c>
      <c r="F602" t="str">
        <f t="shared" si="117"/>
        <v>kg ww</v>
      </c>
      <c r="G602" s="32" t="str">
        <f>$B$373&amp;" * "&amp;D342</f>
        <v>rigid_carbon * rigid_PP_AIR_CC_mass_mechanical</v>
      </c>
      <c r="H602" s="220"/>
      <c r="I602" s="6" t="str">
        <f t="shared" si="115"/>
        <v>PP</v>
      </c>
      <c r="J602" t="s">
        <v>770</v>
      </c>
      <c r="K602" s="33">
        <f t="shared" si="114"/>
        <v>2.5361619359999992</v>
      </c>
      <c r="L602" t="str">
        <f t="shared" si="118"/>
        <v>kg ww</v>
      </c>
      <c r="M602" t="str">
        <f t="shared" si="116"/>
        <v>rigid_PP_INC_AIR_carbon_mechanical - rigid_PP_AIR_CC_carbon_mechanical</v>
      </c>
      <c r="N602" s="14" t="s">
        <v>1005</v>
      </c>
    </row>
    <row r="603" spans="1:14" ht="15" customHeight="1" x14ac:dyDescent="0.2">
      <c r="A603" s="14"/>
      <c r="B603" s="220"/>
      <c r="C603" s="6" t="str">
        <f t="shared" si="112"/>
        <v>PS</v>
      </c>
      <c r="D603" t="s">
        <v>2930</v>
      </c>
      <c r="E603" s="33">
        <f t="shared" si="113"/>
        <v>3.8834666434080005</v>
      </c>
      <c r="F603" t="str">
        <f t="shared" si="117"/>
        <v>kg ww</v>
      </c>
      <c r="G603" s="32" t="str">
        <f>$B$373&amp;" * "&amp;D343</f>
        <v>rigid_carbon * rigid_PS_AIR_CC_mass_mechanical</v>
      </c>
      <c r="H603" s="220"/>
      <c r="I603" s="6" t="str">
        <f t="shared" si="115"/>
        <v>PS</v>
      </c>
      <c r="J603" t="s">
        <v>771</v>
      </c>
      <c r="K603" s="33">
        <f t="shared" si="114"/>
        <v>0.43149629371200016</v>
      </c>
      <c r="L603" t="str">
        <f t="shared" si="118"/>
        <v>kg ww</v>
      </c>
      <c r="M603" t="str">
        <f t="shared" si="116"/>
        <v>rigid_PS_INC_AIR_carbon_mechanical - rigid_PS_AIR_CC_carbon_mechanical</v>
      </c>
      <c r="N603" s="14" t="s">
        <v>1005</v>
      </c>
    </row>
    <row r="604" spans="1:14" ht="15" customHeight="1" x14ac:dyDescent="0.2">
      <c r="A604" s="15"/>
      <c r="B604" s="220"/>
      <c r="C604" s="6" t="str">
        <f t="shared" si="112"/>
        <v>Other</v>
      </c>
      <c r="D604" t="s">
        <v>2931</v>
      </c>
      <c r="E604" s="33">
        <f t="shared" si="113"/>
        <v>19.417333217039996</v>
      </c>
      <c r="F604" t="str">
        <f t="shared" si="117"/>
        <v>kg ww</v>
      </c>
      <c r="G604" s="32" t="str">
        <f>$B$373&amp;" * "&amp;D344</f>
        <v>rigid_carbon * rigid_Oth_AIR_CC_mass_mechanical</v>
      </c>
      <c r="H604" s="220"/>
      <c r="I604" s="6" t="str">
        <f t="shared" si="115"/>
        <v>Other</v>
      </c>
      <c r="J604" t="s">
        <v>772</v>
      </c>
      <c r="K604" s="33">
        <f t="shared" si="114"/>
        <v>2.1574814685600003</v>
      </c>
      <c r="L604" t="str">
        <f t="shared" si="118"/>
        <v>kg ww</v>
      </c>
      <c r="M604" t="str">
        <f t="shared" si="116"/>
        <v>rigid_Oth_INC_AIR_carbon_mechanical - rigid_Oth_AIR_CC_carbon_mechanical</v>
      </c>
      <c r="N604" s="14" t="s">
        <v>1005</v>
      </c>
    </row>
    <row r="605" spans="1:14" ht="15" customHeight="1" x14ac:dyDescent="0.2">
      <c r="A605" s="15"/>
      <c r="B605" s="220" t="s">
        <v>42</v>
      </c>
      <c r="C605" s="6" t="str">
        <f t="shared" si="112"/>
        <v>PET</v>
      </c>
      <c r="D605" t="s">
        <v>2932</v>
      </c>
      <c r="E605" s="33">
        <f t="shared" si="113"/>
        <v>0</v>
      </c>
      <c r="F605" t="str">
        <f t="shared" si="117"/>
        <v>kg ww</v>
      </c>
      <c r="G605" s="32" t="str">
        <f>$B$374&amp;" * "&amp;D345</f>
        <v>soft_carbon * soft_PET_AIR_CC_mass_mechanical</v>
      </c>
      <c r="H605" s="220" t="s">
        <v>42</v>
      </c>
      <c r="I605" s="6" t="str">
        <f t="shared" si="115"/>
        <v>PET</v>
      </c>
      <c r="J605" t="s">
        <v>773</v>
      </c>
      <c r="K605" s="33">
        <f t="shared" si="114"/>
        <v>0</v>
      </c>
      <c r="L605" t="str">
        <f t="shared" si="118"/>
        <v>kg ww</v>
      </c>
      <c r="M605" t="str">
        <f t="shared" si="116"/>
        <v>soft_PET_INC_AIR_carbon_mechanical - soft_PET_AIR_CC_carbon_mechanical</v>
      </c>
      <c r="N605" s="14" t="s">
        <v>1005</v>
      </c>
    </row>
    <row r="606" spans="1:14" ht="15" customHeight="1" x14ac:dyDescent="0.2">
      <c r="A606" s="15"/>
      <c r="B606" s="220"/>
      <c r="C606" s="6" t="str">
        <f t="shared" si="112"/>
        <v>PE</v>
      </c>
      <c r="D606" t="s">
        <v>2933</v>
      </c>
      <c r="E606" s="33">
        <f t="shared" si="113"/>
        <v>61.841294726400008</v>
      </c>
      <c r="F606" t="str">
        <f t="shared" si="117"/>
        <v>kg ww</v>
      </c>
      <c r="G606" s="32" t="str">
        <f>$B$374&amp;" * "&amp;D346</f>
        <v>soft_carbon * soft_PE_AIR_CC_mass_mechanical</v>
      </c>
      <c r="H606" s="220"/>
      <c r="I606" s="6" t="str">
        <f t="shared" si="115"/>
        <v>PE</v>
      </c>
      <c r="J606" t="s">
        <v>774</v>
      </c>
      <c r="K606" s="33">
        <f t="shared" si="114"/>
        <v>6.8712549696000025</v>
      </c>
      <c r="L606" t="str">
        <f t="shared" si="118"/>
        <v>kg ww</v>
      </c>
      <c r="M606" t="str">
        <f t="shared" si="116"/>
        <v>soft_PE_INC_AIR_carbon_mechanical - soft_PE_AIR_CC_carbon_mechanical</v>
      </c>
      <c r="N606" s="14" t="s">
        <v>1005</v>
      </c>
    </row>
    <row r="607" spans="1:14" ht="15" customHeight="1" x14ac:dyDescent="0.2">
      <c r="A607" s="15"/>
      <c r="B607" s="220"/>
      <c r="C607" s="6" t="str">
        <f t="shared" si="112"/>
        <v>PP</v>
      </c>
      <c r="D607" t="s">
        <v>2934</v>
      </c>
      <c r="E607" s="33">
        <f t="shared" si="113"/>
        <v>0</v>
      </c>
      <c r="F607" t="str">
        <f t="shared" si="117"/>
        <v>kg ww</v>
      </c>
      <c r="G607" s="32" t="str">
        <f>$B$374&amp;" * "&amp;D347</f>
        <v>soft_carbon * soft_PP_AIR_CC_mass_mechanical</v>
      </c>
      <c r="H607" s="220"/>
      <c r="I607" s="6" t="str">
        <f t="shared" si="115"/>
        <v>PP</v>
      </c>
      <c r="J607" t="s">
        <v>775</v>
      </c>
      <c r="K607" s="33">
        <f t="shared" si="114"/>
        <v>0</v>
      </c>
      <c r="L607" t="str">
        <f t="shared" si="118"/>
        <v>kg ww</v>
      </c>
      <c r="M607" t="str">
        <f t="shared" si="116"/>
        <v>soft_PP_INC_AIR_carbon_mechanical - soft_PP_AIR_CC_carbon_mechanical</v>
      </c>
      <c r="N607" s="14" t="s">
        <v>1005</v>
      </c>
    </row>
    <row r="608" spans="1:14" ht="15" customHeight="1" x14ac:dyDescent="0.2">
      <c r="A608" s="14"/>
      <c r="B608" s="220"/>
      <c r="C608" s="6" t="str">
        <f t="shared" si="112"/>
        <v>PS</v>
      </c>
      <c r="D608" t="s">
        <v>2935</v>
      </c>
      <c r="E608" s="33">
        <f t="shared" si="113"/>
        <v>0</v>
      </c>
      <c r="F608" t="str">
        <f t="shared" si="117"/>
        <v>kg ww</v>
      </c>
      <c r="G608" s="32" t="str">
        <f>$B$374&amp;" * "&amp;D348</f>
        <v>soft_carbon * soft_PS_AIR_CC_mass_mechanical</v>
      </c>
      <c r="H608" s="220"/>
      <c r="I608" s="6" t="str">
        <f t="shared" si="115"/>
        <v>PS</v>
      </c>
      <c r="J608" t="s">
        <v>776</v>
      </c>
      <c r="K608" s="33">
        <f t="shared" si="114"/>
        <v>0</v>
      </c>
      <c r="L608" t="str">
        <f t="shared" si="118"/>
        <v>kg ww</v>
      </c>
      <c r="M608" t="str">
        <f t="shared" si="116"/>
        <v>soft_PS_INC_AIR_carbon_mechanical - soft_PS_AIR_CC_carbon_mechanical</v>
      </c>
      <c r="N608" s="14" t="s">
        <v>1005</v>
      </c>
    </row>
    <row r="609" spans="1:14" ht="15" customHeight="1" x14ac:dyDescent="0.2">
      <c r="A609" s="14"/>
      <c r="B609" s="220"/>
      <c r="C609" s="6" t="str">
        <f t="shared" si="112"/>
        <v>Other</v>
      </c>
      <c r="D609" t="s">
        <v>2936</v>
      </c>
      <c r="E609" s="33">
        <f t="shared" si="113"/>
        <v>35.367947294803216</v>
      </c>
      <c r="F609" t="str">
        <f t="shared" si="117"/>
        <v>kg ww</v>
      </c>
      <c r="G609" s="32" t="str">
        <f>$B$374&amp;" * "&amp;D349</f>
        <v>soft_carbon * soft_Oth_AIR_CC_mass_mechanical</v>
      </c>
      <c r="H609" s="220"/>
      <c r="I609" s="6" t="str">
        <f t="shared" si="115"/>
        <v>Other</v>
      </c>
      <c r="J609" t="s">
        <v>777</v>
      </c>
      <c r="K609" s="33">
        <f t="shared" si="114"/>
        <v>3.9297719216448002</v>
      </c>
      <c r="L609" t="str">
        <f t="shared" si="118"/>
        <v>kg ww</v>
      </c>
      <c r="M609" t="str">
        <f t="shared" si="116"/>
        <v>soft_Oth_INC_AIR_carbon_mechanical - soft_Oth_AIR_CC_carbon_mechanical</v>
      </c>
      <c r="N609" s="14" t="s">
        <v>1005</v>
      </c>
    </row>
    <row r="610" spans="1:14" ht="15" customHeight="1" x14ac:dyDescent="0.2">
      <c r="A610" s="14"/>
      <c r="B610" s="220" t="s">
        <v>19</v>
      </c>
      <c r="C610" s="6" t="str">
        <f t="shared" si="112"/>
        <v>PET</v>
      </c>
      <c r="D610" t="s">
        <v>2937</v>
      </c>
      <c r="E610" s="33">
        <f t="shared" si="113"/>
        <v>0</v>
      </c>
      <c r="F610" t="str">
        <f t="shared" si="117"/>
        <v>kg ww</v>
      </c>
      <c r="G610" s="32" t="str">
        <f>$B$375&amp;" * "&amp;D350</f>
        <v>nonrec_carbon * other_PET_AIR_CC_mass_mechanical</v>
      </c>
      <c r="H610" s="220" t="s">
        <v>19</v>
      </c>
      <c r="I610" s="6" t="str">
        <f t="shared" si="115"/>
        <v>PET</v>
      </c>
      <c r="J610" t="s">
        <v>778</v>
      </c>
      <c r="K610" s="33">
        <f t="shared" si="114"/>
        <v>0</v>
      </c>
      <c r="L610" t="str">
        <f t="shared" si="118"/>
        <v>kg ww</v>
      </c>
      <c r="M610" t="str">
        <f t="shared" si="116"/>
        <v>other_PET_INC_AIR_carbon_mechanical - other_PET_AIR_CC_carbon_mechanical</v>
      </c>
      <c r="N610" s="14" t="s">
        <v>1005</v>
      </c>
    </row>
    <row r="611" spans="1:14" ht="15" customHeight="1" x14ac:dyDescent="0.2">
      <c r="A611" s="14"/>
      <c r="B611" s="220"/>
      <c r="C611" s="6" t="str">
        <f t="shared" si="112"/>
        <v>PE</v>
      </c>
      <c r="D611" t="s">
        <v>2938</v>
      </c>
      <c r="E611" s="33">
        <f t="shared" si="113"/>
        <v>0</v>
      </c>
      <c r="F611" t="str">
        <f t="shared" si="117"/>
        <v>kg ww</v>
      </c>
      <c r="G611" s="32" t="str">
        <f>$B$375&amp;" * "&amp;D351</f>
        <v>nonrec_carbon * other_PE_AIR_CC_mass_mechanical</v>
      </c>
      <c r="H611" s="220"/>
      <c r="I611" s="6" t="str">
        <f t="shared" si="115"/>
        <v>PE</v>
      </c>
      <c r="J611" t="s">
        <v>779</v>
      </c>
      <c r="K611" s="33">
        <f t="shared" si="114"/>
        <v>0</v>
      </c>
      <c r="L611" t="str">
        <f t="shared" si="118"/>
        <v>kg ww</v>
      </c>
      <c r="M611" t="str">
        <f t="shared" si="116"/>
        <v>other_PE_INC_AIR_carbon_mechanical - other_PE_AIR_CC_carbon_mechanical</v>
      </c>
      <c r="N611" s="14" t="s">
        <v>1005</v>
      </c>
    </row>
    <row r="612" spans="1:14" ht="15" customHeight="1" x14ac:dyDescent="0.2">
      <c r="A612" s="14"/>
      <c r="B612" s="220"/>
      <c r="C612" s="6" t="str">
        <f t="shared" si="112"/>
        <v>PP</v>
      </c>
      <c r="D612" t="s">
        <v>2939</v>
      </c>
      <c r="E612" s="33">
        <f t="shared" si="113"/>
        <v>0</v>
      </c>
      <c r="F612" t="str">
        <f t="shared" si="117"/>
        <v>kg ww</v>
      </c>
      <c r="G612" s="32" t="str">
        <f>$B$375&amp;" * "&amp;D352</f>
        <v>nonrec_carbon * other_PP_AIR_CC_mass_mechanical</v>
      </c>
      <c r="H612" s="220"/>
      <c r="I612" s="6" t="str">
        <f t="shared" si="115"/>
        <v>PP</v>
      </c>
      <c r="J612" t="s">
        <v>780</v>
      </c>
      <c r="K612" s="33">
        <f t="shared" si="114"/>
        <v>0</v>
      </c>
      <c r="L612" t="str">
        <f t="shared" si="118"/>
        <v>kg ww</v>
      </c>
      <c r="M612" t="str">
        <f t="shared" si="116"/>
        <v>other_PP_INC_AIR_carbon_mechanical - other_PP_AIR_CC_carbon_mechanical</v>
      </c>
      <c r="N612" s="14" t="s">
        <v>1005</v>
      </c>
    </row>
    <row r="613" spans="1:14" ht="15" customHeight="1" x14ac:dyDescent="0.2">
      <c r="A613" s="14"/>
      <c r="B613" s="220"/>
      <c r="C613" s="6" t="str">
        <f t="shared" si="112"/>
        <v>PS</v>
      </c>
      <c r="D613" t="s">
        <v>2940</v>
      </c>
      <c r="E613" s="33">
        <f t="shared" si="113"/>
        <v>0</v>
      </c>
      <c r="F613" t="str">
        <f t="shared" si="117"/>
        <v>kg ww</v>
      </c>
      <c r="G613" s="32" t="str">
        <f>$B$375&amp;" * "&amp;D353</f>
        <v>nonrec_carbon * other_PS_AIR_CC_mass_mechanical</v>
      </c>
      <c r="H613" s="220"/>
      <c r="I613" s="6" t="str">
        <f t="shared" si="115"/>
        <v>PS</v>
      </c>
      <c r="J613" t="s">
        <v>781</v>
      </c>
      <c r="K613" s="33">
        <f t="shared" si="114"/>
        <v>0</v>
      </c>
      <c r="L613" t="str">
        <f t="shared" si="118"/>
        <v>kg ww</v>
      </c>
      <c r="M613" t="str">
        <f t="shared" si="116"/>
        <v>other_PS_INC_AIR_carbon_mechanical - other_PS_AIR_CC_carbon_mechanical</v>
      </c>
      <c r="N613" s="14" t="s">
        <v>1005</v>
      </c>
    </row>
    <row r="614" spans="1:14" ht="15" customHeight="1" x14ac:dyDescent="0.2">
      <c r="A614" s="14"/>
      <c r="B614" s="227"/>
      <c r="C614" s="60" t="str">
        <f t="shared" si="112"/>
        <v>Other</v>
      </c>
      <c r="D614" s="44" t="s">
        <v>2941</v>
      </c>
      <c r="E614" s="62">
        <f t="shared" si="113"/>
        <v>59.028659999999952</v>
      </c>
      <c r="F614" s="44" t="str">
        <f t="shared" si="117"/>
        <v>kg ww</v>
      </c>
      <c r="G614" s="61" t="str">
        <f>$B$375&amp;" * "&amp;D354</f>
        <v>nonrec_carbon * other_Oth_AIR_CC_mass_mechanical</v>
      </c>
      <c r="H614" s="227"/>
      <c r="I614" s="6" t="str">
        <f t="shared" si="115"/>
        <v>Other</v>
      </c>
      <c r="J614" t="s">
        <v>782</v>
      </c>
      <c r="K614" s="33">
        <f t="shared" si="114"/>
        <v>6.5587399999999931</v>
      </c>
      <c r="L614" t="str">
        <f t="shared" si="118"/>
        <v>kg ww</v>
      </c>
      <c r="M614" t="str">
        <f t="shared" si="116"/>
        <v>other_Oth_INC_AIR_carbon_mechanical - other_Oth_AIR_CC_carbon_mechanical</v>
      </c>
      <c r="N614" s="14" t="s">
        <v>1005</v>
      </c>
    </row>
    <row r="615" spans="1:14" ht="25" customHeight="1" x14ac:dyDescent="0.2">
      <c r="A615" s="14"/>
      <c r="B615" s="214" t="s">
        <v>2942</v>
      </c>
      <c r="C615" s="214"/>
      <c r="D615" s="214"/>
      <c r="E615" s="214"/>
      <c r="F615" s="214"/>
      <c r="G615" s="214"/>
      <c r="H615" s="214"/>
      <c r="I615" s="214"/>
      <c r="J615" s="214"/>
      <c r="K615" s="214"/>
      <c r="L615" s="214"/>
      <c r="M615" s="214"/>
      <c r="N615" s="14" t="s">
        <v>1005</v>
      </c>
    </row>
    <row r="616" spans="1:14" ht="15" customHeight="1" x14ac:dyDescent="0.2">
      <c r="A616" s="14"/>
      <c r="B616" s="2" t="str">
        <f>B525</f>
        <v>Parameter</v>
      </c>
      <c r="C616" s="2" t="str">
        <f>C525</f>
        <v>Value</v>
      </c>
      <c r="D616" s="2" t="str">
        <f>D525</f>
        <v>Unit</v>
      </c>
      <c r="E616" s="2" t="str">
        <f>E525</f>
        <v>Description</v>
      </c>
      <c r="F616" s="2"/>
      <c r="G616" s="1"/>
      <c r="H616" s="2" t="str">
        <f>B616</f>
        <v>Parameter</v>
      </c>
      <c r="I616" s="2" t="str">
        <f>C616</f>
        <v>Value</v>
      </c>
      <c r="J616" s="2" t="str">
        <f>D616</f>
        <v>Unit</v>
      </c>
      <c r="K616" s="2" t="str">
        <f>E616</f>
        <v>Description</v>
      </c>
      <c r="L616" s="2"/>
      <c r="M616" s="2"/>
      <c r="N616" s="14"/>
    </row>
    <row r="617" spans="1:14" ht="15" customHeight="1" x14ac:dyDescent="0.2">
      <c r="A617" s="14"/>
      <c r="B617" t="s">
        <v>2943</v>
      </c>
      <c r="C617" s="33">
        <f>SUM(E595:E599)</f>
        <v>65.474236224000009</v>
      </c>
      <c r="D617" t="s">
        <v>126</v>
      </c>
      <c r="E617" t="s">
        <v>2948</v>
      </c>
      <c r="G617" s="32"/>
      <c r="H617" t="s">
        <v>783</v>
      </c>
      <c r="I617" s="33">
        <f>SUM(K595:K599)</f>
        <v>7.2749151359999953</v>
      </c>
      <c r="J617" t="s">
        <v>10</v>
      </c>
      <c r="K617" t="s">
        <v>1101</v>
      </c>
      <c r="N617" s="14"/>
    </row>
    <row r="618" spans="1:14" ht="15" customHeight="1" x14ac:dyDescent="0.2">
      <c r="A618" s="14"/>
      <c r="B618" t="s">
        <v>2944</v>
      </c>
      <c r="C618" s="33">
        <f>SUM(E600:E604)</f>
        <v>63.443850658848007</v>
      </c>
      <c r="D618" t="str">
        <f>D617</f>
        <v xml:space="preserve">kg </v>
      </c>
      <c r="E618" t="s">
        <v>2949</v>
      </c>
      <c r="G618" s="32"/>
      <c r="H618" t="s">
        <v>784</v>
      </c>
      <c r="I618">
        <f>SUM(K600:K604)</f>
        <v>7.0493167398719994</v>
      </c>
      <c r="J618" t="str">
        <f>J617</f>
        <v>kg ww</v>
      </c>
      <c r="K618" t="s">
        <v>1102</v>
      </c>
      <c r="N618" s="14"/>
    </row>
    <row r="619" spans="1:14" ht="15" customHeight="1" x14ac:dyDescent="0.2">
      <c r="A619" s="14"/>
      <c r="B619" t="s">
        <v>2945</v>
      </c>
      <c r="C619">
        <f>SUM(E605:E609)</f>
        <v>97.209242021203224</v>
      </c>
      <c r="D619" t="str">
        <f t="shared" ref="D619" si="119">D618</f>
        <v xml:space="preserve">kg </v>
      </c>
      <c r="E619" t="s">
        <v>2950</v>
      </c>
      <c r="G619" s="32"/>
      <c r="H619" t="s">
        <v>785</v>
      </c>
      <c r="I619">
        <f>SUM(K605:K609)</f>
        <v>10.801026891244803</v>
      </c>
      <c r="J619" t="str">
        <f t="shared" ref="J619" si="120">J618</f>
        <v>kg ww</v>
      </c>
      <c r="K619" t="s">
        <v>1103</v>
      </c>
      <c r="N619" s="15"/>
    </row>
    <row r="620" spans="1:14" ht="15" customHeight="1" thickBot="1" x14ac:dyDescent="0.25">
      <c r="A620" s="15"/>
      <c r="B620" s="8" t="s">
        <v>2946</v>
      </c>
      <c r="C620" s="8">
        <f>SUM(E610:E614)</f>
        <v>59.028659999999952</v>
      </c>
      <c r="D620" s="8" t="str">
        <f>D619</f>
        <v xml:space="preserve">kg </v>
      </c>
      <c r="E620" s="8" t="s">
        <v>2951</v>
      </c>
      <c r="F620" s="8"/>
      <c r="G620" s="87"/>
      <c r="H620" s="8" t="s">
        <v>786</v>
      </c>
      <c r="I620" s="8">
        <f>SUM(K610:K614)</f>
        <v>6.5587399999999931</v>
      </c>
      <c r="J620" s="8"/>
      <c r="K620" s="8" t="s">
        <v>1104</v>
      </c>
      <c r="L620" s="8"/>
      <c r="M620" s="8"/>
      <c r="N620" s="15"/>
    </row>
    <row r="621" spans="1:14" ht="15" customHeight="1" thickTop="1" x14ac:dyDescent="0.2">
      <c r="A621" s="15"/>
      <c r="B621" s="44" t="s">
        <v>2947</v>
      </c>
      <c r="C621" s="62">
        <f>SUM(C617:C620)</f>
        <v>285.15598890405118</v>
      </c>
      <c r="D621" s="44" t="str">
        <f>D619</f>
        <v xml:space="preserve">kg </v>
      </c>
      <c r="E621" s="44" t="s">
        <v>2952</v>
      </c>
      <c r="F621" s="44"/>
      <c r="G621" s="61"/>
      <c r="H621" s="44" t="s">
        <v>787</v>
      </c>
      <c r="I621" s="62">
        <f>SUM(I617:I620)</f>
        <v>31.68399876711679</v>
      </c>
      <c r="J621" s="44" t="str">
        <f>J619</f>
        <v>kg ww</v>
      </c>
      <c r="K621" s="44" t="s">
        <v>1105</v>
      </c>
      <c r="L621" s="44"/>
      <c r="M621" s="44"/>
      <c r="N621" s="14"/>
    </row>
    <row r="622" spans="1:14" ht="15" customHeight="1" x14ac:dyDescent="0.2">
      <c r="A622" s="14"/>
      <c r="B622" s="125" t="s">
        <v>2704</v>
      </c>
      <c r="C622" s="125" t="str">
        <f>IF(C621+I621=I586,"true")</f>
        <v>true</v>
      </c>
      <c r="D622" s="125"/>
      <c r="E622" s="125"/>
      <c r="F622" s="125"/>
      <c r="G622" s="125"/>
      <c r="H622" s="125"/>
      <c r="I622" s="125"/>
      <c r="J622" s="125"/>
      <c r="K622" s="125"/>
      <c r="L622" s="125"/>
      <c r="M622" s="125"/>
      <c r="N622" s="14"/>
    </row>
    <row r="623" spans="1:14" ht="15" customHeight="1" x14ac:dyDescent="0.2">
      <c r="A623" s="14"/>
      <c r="B623" s="14"/>
      <c r="C623" s="14"/>
      <c r="D623" s="14"/>
      <c r="E623" s="14"/>
      <c r="F623" s="14"/>
      <c r="G623" s="14"/>
      <c r="H623" s="14"/>
      <c r="I623" s="14"/>
      <c r="J623" s="14"/>
      <c r="K623" s="14"/>
      <c r="L623" s="14"/>
      <c r="M623" s="14"/>
      <c r="N623" s="14"/>
    </row>
    <row r="624" spans="1:14" ht="15" customHeight="1" x14ac:dyDescent="0.2">
      <c r="A624" s="14"/>
      <c r="B624" s="14"/>
      <c r="C624" s="14"/>
      <c r="D624" s="14"/>
      <c r="E624" s="14"/>
      <c r="F624" s="14"/>
      <c r="G624" s="14"/>
      <c r="H624" s="14"/>
      <c r="I624" s="14"/>
      <c r="J624" s="14"/>
      <c r="K624" s="14"/>
      <c r="L624" s="14"/>
      <c r="M624" s="14"/>
      <c r="N624" s="14"/>
    </row>
    <row r="625" spans="1:14" ht="15" customHeight="1" x14ac:dyDescent="0.2">
      <c r="A625" s="73"/>
      <c r="B625" s="73"/>
      <c r="C625" s="73"/>
      <c r="D625" s="73"/>
      <c r="E625" s="73"/>
      <c r="F625" s="73"/>
      <c r="G625" s="73"/>
      <c r="H625" s="73"/>
      <c r="I625" s="73"/>
      <c r="J625" s="73"/>
      <c r="K625" s="73"/>
      <c r="L625" s="73"/>
      <c r="M625" s="73"/>
      <c r="N625" s="73"/>
    </row>
    <row r="626" spans="1:14" ht="15" customHeight="1" x14ac:dyDescent="0.2">
      <c r="A626" s="19"/>
      <c r="B626" s="19"/>
      <c r="C626" s="19"/>
      <c r="D626" s="19"/>
      <c r="E626" s="19"/>
      <c r="F626" s="19"/>
      <c r="G626" s="19"/>
      <c r="H626" s="19"/>
      <c r="I626" s="19"/>
      <c r="J626" s="19"/>
      <c r="K626" s="19"/>
      <c r="L626" s="19"/>
      <c r="M626" s="19"/>
      <c r="N626" s="19"/>
    </row>
    <row r="627" spans="1:14" ht="15" customHeight="1" x14ac:dyDescent="0.2">
      <c r="A627" s="19"/>
      <c r="B627" s="19"/>
      <c r="C627" s="19"/>
      <c r="D627" s="19"/>
      <c r="E627" s="19"/>
      <c r="F627" s="19"/>
      <c r="G627" s="19"/>
      <c r="H627" s="19"/>
      <c r="I627" s="19"/>
      <c r="J627" s="19"/>
      <c r="K627" s="19"/>
      <c r="L627" s="19"/>
      <c r="M627" s="19"/>
      <c r="N627" s="19"/>
    </row>
    <row r="628" spans="1:14" ht="15" customHeight="1" x14ac:dyDescent="0.25">
      <c r="A628" s="19"/>
      <c r="B628" s="217" t="s">
        <v>120</v>
      </c>
      <c r="C628" s="217"/>
      <c r="D628" s="217"/>
      <c r="E628" s="217"/>
      <c r="F628" s="217"/>
      <c r="G628" s="217"/>
      <c r="H628" s="217"/>
      <c r="I628" s="217"/>
      <c r="J628" s="217"/>
      <c r="K628" s="217"/>
      <c r="L628" s="217"/>
      <c r="M628" s="217"/>
      <c r="N628" s="19"/>
    </row>
    <row r="629" spans="1:14" ht="15" customHeight="1" x14ac:dyDescent="0.2">
      <c r="A629" s="19"/>
      <c r="B629" s="19"/>
      <c r="C629" s="19"/>
      <c r="D629" s="19"/>
      <c r="E629" s="19"/>
      <c r="F629" s="19"/>
      <c r="G629" s="19"/>
      <c r="H629" s="19"/>
      <c r="I629" s="19"/>
      <c r="J629" s="19"/>
      <c r="K629" s="19"/>
      <c r="L629" s="19"/>
      <c r="M629" s="19"/>
      <c r="N629" s="19"/>
    </row>
    <row r="630" spans="1:14" ht="25" customHeight="1" x14ac:dyDescent="0.3">
      <c r="A630" s="51"/>
      <c r="B630" s="214" t="s">
        <v>1</v>
      </c>
      <c r="C630" s="214"/>
      <c r="D630" s="214"/>
      <c r="E630" s="214"/>
      <c r="F630" s="214"/>
      <c r="G630" s="214"/>
      <c r="H630" s="214"/>
      <c r="I630" s="214"/>
      <c r="J630" s="214"/>
      <c r="K630" s="214"/>
      <c r="L630" s="214"/>
      <c r="M630" s="214"/>
      <c r="N630" s="52"/>
    </row>
    <row r="631" spans="1:14" ht="15" customHeight="1" x14ac:dyDescent="0.2">
      <c r="A631" s="19"/>
      <c r="B631" s="114" t="s">
        <v>2</v>
      </c>
      <c r="C631" s="114" t="s">
        <v>3</v>
      </c>
      <c r="D631" s="114" t="s">
        <v>4</v>
      </c>
      <c r="E631" s="114" t="s">
        <v>5</v>
      </c>
      <c r="F631" s="114" t="s">
        <v>6</v>
      </c>
      <c r="G631" s="114" t="s">
        <v>7</v>
      </c>
      <c r="H631" s="114" t="s">
        <v>112</v>
      </c>
      <c r="I631" s="106"/>
      <c r="J631" s="106"/>
      <c r="K631" s="106"/>
      <c r="L631" s="106"/>
      <c r="M631" s="106"/>
      <c r="N631" s="19"/>
    </row>
    <row r="632" spans="1:14" ht="15" customHeight="1" x14ac:dyDescent="0.2">
      <c r="A632" s="19"/>
      <c r="B632" s="106" t="str">
        <f>'info, structure, parameters'!A209</f>
        <v>bottle_energy</v>
      </c>
      <c r="C632" s="106">
        <f>'info, structure, parameters'!B209</f>
        <v>32.703299999999999</v>
      </c>
      <c r="D632" s="106" t="str">
        <f>'info, structure, parameters'!C209</f>
        <v>MJ</v>
      </c>
      <c r="E632" s="106">
        <f>'info, structure, parameters'!D209</f>
        <v>32.703299999999999</v>
      </c>
      <c r="F632" s="106">
        <f>'info, structure, parameters'!E209</f>
        <v>32.703299999999999</v>
      </c>
      <c r="G632" s="106" t="str">
        <f>'info, structure, parameters'!F209</f>
        <v>Amount of energy contained in 1 kg of plastic bottle waste</v>
      </c>
      <c r="H632" s="106">
        <f>'info, structure, parameters'!G209</f>
        <v>3</v>
      </c>
      <c r="I632" s="106"/>
      <c r="J632" s="106"/>
      <c r="K632" s="106"/>
      <c r="L632" s="106"/>
      <c r="M632" s="106"/>
      <c r="N632" s="19"/>
    </row>
    <row r="633" spans="1:14" ht="15" customHeight="1" x14ac:dyDescent="0.2">
      <c r="A633" s="19"/>
      <c r="B633" s="106" t="str">
        <f>'info, structure, parameters'!A210</f>
        <v>rigid_energy</v>
      </c>
      <c r="C633" s="106">
        <f>'info, structure, parameters'!B210</f>
        <v>36.212879999999998</v>
      </c>
      <c r="D633" s="106" t="str">
        <f>'info, structure, parameters'!C210</f>
        <v>MJ</v>
      </c>
      <c r="E633" s="106">
        <f>'info, structure, parameters'!D210</f>
        <v>36.212879999999998</v>
      </c>
      <c r="F633" s="106">
        <f>'info, structure, parameters'!E210</f>
        <v>36.212879999999998</v>
      </c>
      <c r="G633" s="106" t="str">
        <f>'info, structure, parameters'!F210</f>
        <v>Amount of energy contained in 1 kg of rigid plastic waste</v>
      </c>
      <c r="H633" s="106">
        <f>'info, structure, parameters'!G210</f>
        <v>3</v>
      </c>
      <c r="I633" s="106"/>
      <c r="J633" s="106"/>
      <c r="K633" s="106"/>
      <c r="L633" s="106"/>
      <c r="M633" s="106"/>
      <c r="N633" s="19"/>
    </row>
    <row r="634" spans="1:14" ht="15" customHeight="1" x14ac:dyDescent="0.2">
      <c r="A634" s="19"/>
      <c r="B634" s="106" t="str">
        <f>'info, structure, parameters'!A211</f>
        <v>soft_energy</v>
      </c>
      <c r="C634" s="106">
        <f>'info, structure, parameters'!B211</f>
        <v>34.407533999999998</v>
      </c>
      <c r="D634" s="106" t="str">
        <f>'info, structure, parameters'!C211</f>
        <v>MJ</v>
      </c>
      <c r="E634" s="106">
        <f>'info, structure, parameters'!D211</f>
        <v>34.407533999999998</v>
      </c>
      <c r="F634" s="106">
        <f>'info, structure, parameters'!E211</f>
        <v>34.407533999999998</v>
      </c>
      <c r="G634" s="106" t="str">
        <f>'info, structure, parameters'!F211</f>
        <v>Amount of energy contained in 1 kg of soft plastic waste</v>
      </c>
      <c r="H634" s="106">
        <f>'info, structure, parameters'!G211</f>
        <v>3</v>
      </c>
      <c r="I634" s="106"/>
      <c r="J634" s="106"/>
      <c r="K634" s="106"/>
      <c r="L634" s="106"/>
      <c r="M634" s="106"/>
      <c r="N634" s="19"/>
    </row>
    <row r="635" spans="1:14" ht="15" customHeight="1" x14ac:dyDescent="0.2">
      <c r="A635" s="19"/>
      <c r="B635" s="106" t="str">
        <f>'info, structure, parameters'!A212</f>
        <v>nonrec_energy</v>
      </c>
      <c r="C635" s="106">
        <f>'info, structure, parameters'!B212</f>
        <v>29.690840000000001</v>
      </c>
      <c r="D635" s="106" t="str">
        <f>'info, structure, parameters'!C212</f>
        <v>MJ</v>
      </c>
      <c r="E635" s="106">
        <f>'info, structure, parameters'!D212</f>
        <v>29.690840000000001</v>
      </c>
      <c r="F635" s="106">
        <f>'info, structure, parameters'!E212</f>
        <v>29.690840000000001</v>
      </c>
      <c r="G635" s="106" t="str">
        <f>'info, structure, parameters'!F212</f>
        <v>Amount of energy contained in 1 kg of non recyclable plastic waste</v>
      </c>
      <c r="H635" s="106">
        <f>'info, structure, parameters'!G212</f>
        <v>3</v>
      </c>
      <c r="I635" s="106"/>
      <c r="J635" s="106"/>
      <c r="K635" s="106"/>
      <c r="L635" s="106"/>
      <c r="M635" s="106"/>
      <c r="N635" s="19"/>
    </row>
    <row r="636" spans="1:14" ht="25" customHeight="1" x14ac:dyDescent="0.2">
      <c r="A636" s="19"/>
      <c r="B636" s="214" t="s">
        <v>44</v>
      </c>
      <c r="C636" s="214"/>
      <c r="D636" s="214"/>
      <c r="E636" s="214"/>
      <c r="F636" s="214"/>
      <c r="G636" s="214"/>
      <c r="H636" s="214"/>
      <c r="I636" s="214"/>
      <c r="J636" s="214"/>
      <c r="K636" s="214"/>
      <c r="L636" s="214"/>
      <c r="M636" s="214"/>
      <c r="N636" s="19"/>
    </row>
    <row r="637" spans="1:14" ht="25" customHeight="1" x14ac:dyDescent="0.2">
      <c r="A637" s="19"/>
      <c r="B637" s="214" t="s">
        <v>47</v>
      </c>
      <c r="C637" s="214"/>
      <c r="D637" s="214"/>
      <c r="E637" s="214"/>
      <c r="F637" s="214"/>
      <c r="G637" s="223"/>
      <c r="H637" s="214" t="s">
        <v>48</v>
      </c>
      <c r="I637" s="214"/>
      <c r="J637" s="214"/>
      <c r="K637" s="214"/>
      <c r="L637" s="214"/>
      <c r="M637" s="214"/>
      <c r="N637" s="19"/>
    </row>
    <row r="638" spans="1:14" ht="15" customHeight="1" x14ac:dyDescent="0.2">
      <c r="A638" s="19"/>
      <c r="B638" s="2" t="s">
        <v>21</v>
      </c>
      <c r="C638" s="3" t="s">
        <v>20</v>
      </c>
      <c r="D638" s="2" t="s">
        <v>99</v>
      </c>
      <c r="E638" s="2" t="s">
        <v>3</v>
      </c>
      <c r="F638" s="2" t="s">
        <v>4</v>
      </c>
      <c r="G638" s="4" t="s">
        <v>43</v>
      </c>
      <c r="H638" s="2" t="s">
        <v>21</v>
      </c>
      <c r="I638" s="3" t="s">
        <v>20</v>
      </c>
      <c r="J638" s="2" t="str">
        <f>D638</f>
        <v>Name</v>
      </c>
      <c r="K638" s="2" t="s">
        <v>3</v>
      </c>
      <c r="L638" s="2" t="s">
        <v>4</v>
      </c>
      <c r="M638" s="2" t="s">
        <v>43</v>
      </c>
      <c r="N638" s="19"/>
    </row>
    <row r="639" spans="1:14" ht="15" customHeight="1" x14ac:dyDescent="0.2">
      <c r="A639" s="19"/>
      <c r="B639" s="220" t="s">
        <v>14</v>
      </c>
      <c r="C639" s="6" t="str">
        <f t="shared" ref="C639:C658" si="121">C379</f>
        <v>PET</v>
      </c>
      <c r="D639" t="s">
        <v>788</v>
      </c>
      <c r="E639">
        <f>E68*$C$632</f>
        <v>7521.759</v>
      </c>
      <c r="F639" t="s">
        <v>121</v>
      </c>
      <c r="G639" s="32" t="str">
        <f>$B$632&amp;" * "&amp;D68</f>
        <v>bottle_energy * bottle_PET_WG_SS_mass_mechanical</v>
      </c>
      <c r="H639" s="220" t="s">
        <v>14</v>
      </c>
      <c r="I639" s="6" t="str">
        <f>C639</f>
        <v>PET</v>
      </c>
      <c r="J639" t="s">
        <v>808</v>
      </c>
      <c r="K639">
        <v>0</v>
      </c>
      <c r="L639" t="s">
        <v>121</v>
      </c>
      <c r="M639" t="s">
        <v>169</v>
      </c>
      <c r="N639" s="19"/>
    </row>
    <row r="640" spans="1:14" ht="15" customHeight="1" x14ac:dyDescent="0.2">
      <c r="A640" s="19"/>
      <c r="B640" s="220"/>
      <c r="C640" s="6" t="str">
        <f t="shared" si="121"/>
        <v>PE</v>
      </c>
      <c r="D640" t="s">
        <v>789</v>
      </c>
      <c r="E640">
        <f>E69*$C$632</f>
        <v>2289.2309999999998</v>
      </c>
      <c r="F640" t="str">
        <f>F639</f>
        <v>MJ</v>
      </c>
      <c r="G640" s="32" t="str">
        <f>$B$632&amp;" * "&amp;D69</f>
        <v>bottle_energy * bottle_PE_WG_SS_mass_mechanical</v>
      </c>
      <c r="H640" s="220"/>
      <c r="I640" s="6" t="str">
        <f t="shared" ref="I640:I658" si="122">C640</f>
        <v>PE</v>
      </c>
      <c r="J640" t="s">
        <v>809</v>
      </c>
      <c r="K640">
        <v>0</v>
      </c>
      <c r="L640" t="s">
        <v>121</v>
      </c>
      <c r="M640" t="s">
        <v>169</v>
      </c>
      <c r="N640" s="19"/>
    </row>
    <row r="641" spans="1:14" ht="15" customHeight="1" x14ac:dyDescent="0.2">
      <c r="A641" s="19"/>
      <c r="B641" s="220"/>
      <c r="C641" s="6" t="str">
        <f t="shared" si="121"/>
        <v>PP</v>
      </c>
      <c r="D641" t="s">
        <v>790</v>
      </c>
      <c r="E641">
        <f>E70*$C$632</f>
        <v>0</v>
      </c>
      <c r="F641" t="str">
        <f t="shared" ref="F641:F658" si="123">F640</f>
        <v>MJ</v>
      </c>
      <c r="G641" s="32" t="str">
        <f>$B$632&amp;" * "&amp;D70</f>
        <v>bottle_energy * bottle_PP_WG_SS_mass_mechanical</v>
      </c>
      <c r="H641" s="220"/>
      <c r="I641" s="6" t="str">
        <f t="shared" si="122"/>
        <v>PP</v>
      </c>
      <c r="J641" t="s">
        <v>810</v>
      </c>
      <c r="K641">
        <v>0</v>
      </c>
      <c r="L641" t="s">
        <v>121</v>
      </c>
      <c r="M641" t="s">
        <v>169</v>
      </c>
      <c r="N641" s="19"/>
    </row>
    <row r="642" spans="1:14" ht="15" customHeight="1" x14ac:dyDescent="0.2">
      <c r="A642" s="19"/>
      <c r="B642" s="220"/>
      <c r="C642" s="6" t="str">
        <f t="shared" si="121"/>
        <v>PS</v>
      </c>
      <c r="D642" t="s">
        <v>791</v>
      </c>
      <c r="E642">
        <f>E71*$C$632</f>
        <v>0</v>
      </c>
      <c r="F642" t="str">
        <f t="shared" si="123"/>
        <v>MJ</v>
      </c>
      <c r="G642" s="32" t="str">
        <f>$B$632&amp;" * "&amp;D71</f>
        <v>bottle_energy * bottle_PS_WG_SS_mass_mechanical</v>
      </c>
      <c r="H642" s="220"/>
      <c r="I642" s="6" t="str">
        <f t="shared" si="122"/>
        <v>PS</v>
      </c>
      <c r="J642" t="s">
        <v>811</v>
      </c>
      <c r="K642">
        <f>C632*K71</f>
        <v>0</v>
      </c>
      <c r="L642" t="s">
        <v>121</v>
      </c>
      <c r="M642" t="s">
        <v>169</v>
      </c>
      <c r="N642" s="19"/>
    </row>
    <row r="643" spans="1:14" ht="15" customHeight="1" x14ac:dyDescent="0.2">
      <c r="A643" s="19"/>
      <c r="B643" s="220"/>
      <c r="C643" s="6" t="str">
        <f t="shared" si="121"/>
        <v>Other</v>
      </c>
      <c r="D643" t="s">
        <v>792</v>
      </c>
      <c r="E643">
        <f>E72*$C$632</f>
        <v>0</v>
      </c>
      <c r="F643" t="str">
        <f>F642</f>
        <v>MJ</v>
      </c>
      <c r="G643" s="32" t="str">
        <f>$B$632&amp;" * "&amp;D72</f>
        <v>bottle_energy * bottle_Oth_WG_SS_mass_mechanical</v>
      </c>
      <c r="H643" s="220"/>
      <c r="I643" s="6" t="str">
        <f t="shared" si="122"/>
        <v>Other</v>
      </c>
      <c r="J643" t="s">
        <v>812</v>
      </c>
      <c r="K643">
        <f>C632*K72</f>
        <v>0</v>
      </c>
      <c r="L643" t="s">
        <v>121</v>
      </c>
      <c r="M643" t="s">
        <v>169</v>
      </c>
      <c r="N643" s="19"/>
    </row>
    <row r="644" spans="1:14" ht="15" customHeight="1" x14ac:dyDescent="0.2">
      <c r="A644" s="19"/>
      <c r="B644" s="220" t="s">
        <v>15</v>
      </c>
      <c r="C644" s="6" t="str">
        <f t="shared" si="121"/>
        <v>PET</v>
      </c>
      <c r="D644" t="s">
        <v>793</v>
      </c>
      <c r="E644">
        <f>E73*$C$633</f>
        <v>1448.5151999999998</v>
      </c>
      <c r="F644" t="str">
        <f t="shared" si="123"/>
        <v>MJ</v>
      </c>
      <c r="G644" s="32" t="str">
        <f>$B$633&amp;" * "&amp;D73</f>
        <v>rigid_energy * rigid_PET_WG_SS_mass_mechanical</v>
      </c>
      <c r="H644" s="220" t="s">
        <v>15</v>
      </c>
      <c r="I644" s="6" t="str">
        <f t="shared" si="122"/>
        <v>PET</v>
      </c>
      <c r="J644" t="s">
        <v>813</v>
      </c>
      <c r="K644">
        <v>0</v>
      </c>
      <c r="L644" t="s">
        <v>121</v>
      </c>
      <c r="M644" t="s">
        <v>169</v>
      </c>
      <c r="N644" s="19"/>
    </row>
    <row r="645" spans="1:14" ht="15" customHeight="1" x14ac:dyDescent="0.2">
      <c r="A645" s="19"/>
      <c r="B645" s="220"/>
      <c r="C645" s="6" t="str">
        <f t="shared" si="121"/>
        <v>PE</v>
      </c>
      <c r="D645" t="s">
        <v>794</v>
      </c>
      <c r="E645">
        <f>E74*$C$633</f>
        <v>1086.3863999999999</v>
      </c>
      <c r="F645" t="str">
        <f t="shared" si="123"/>
        <v>MJ</v>
      </c>
      <c r="G645" s="32" t="str">
        <f>$B$633&amp;" * "&amp;D74</f>
        <v>rigid_energy * rigid_PE_WG_SS_mass_mechanical</v>
      </c>
      <c r="H645" s="220"/>
      <c r="I645" s="6" t="str">
        <f t="shared" si="122"/>
        <v>PE</v>
      </c>
      <c r="J645" t="s">
        <v>814</v>
      </c>
      <c r="K645">
        <v>0</v>
      </c>
      <c r="L645" t="s">
        <v>121</v>
      </c>
      <c r="M645" t="s">
        <v>169</v>
      </c>
      <c r="N645" s="19"/>
    </row>
    <row r="646" spans="1:14" ht="15" customHeight="1" x14ac:dyDescent="0.2">
      <c r="A646" s="19"/>
      <c r="B646" s="220"/>
      <c r="C646" s="6" t="str">
        <f t="shared" si="121"/>
        <v>PP</v>
      </c>
      <c r="D646" t="s">
        <v>795</v>
      </c>
      <c r="E646">
        <f>E75*$C$633</f>
        <v>2534.9015999999997</v>
      </c>
      <c r="F646" t="str">
        <f t="shared" si="123"/>
        <v>MJ</v>
      </c>
      <c r="G646" s="32" t="str">
        <f>$B$633&amp;" * "&amp;D75</f>
        <v>rigid_energy * rigid_PP_WG_SS_mass_mechanical</v>
      </c>
      <c r="H646" s="220"/>
      <c r="I646" s="6" t="str">
        <f t="shared" si="122"/>
        <v>PP</v>
      </c>
      <c r="J646" t="s">
        <v>815</v>
      </c>
      <c r="K646">
        <v>0</v>
      </c>
      <c r="L646" t="s">
        <v>121</v>
      </c>
      <c r="M646" t="s">
        <v>169</v>
      </c>
      <c r="N646" s="19"/>
    </row>
    <row r="647" spans="1:14" ht="15" customHeight="1" x14ac:dyDescent="0.2">
      <c r="A647" s="19"/>
      <c r="B647" s="220"/>
      <c r="C647" s="6" t="str">
        <f t="shared" si="121"/>
        <v>PS</v>
      </c>
      <c r="D647" t="s">
        <v>796</v>
      </c>
      <c r="E647">
        <f>E76*$C$633</f>
        <v>362.12879999999996</v>
      </c>
      <c r="F647" t="str">
        <f>F646</f>
        <v>MJ</v>
      </c>
      <c r="G647" s="32" t="str">
        <f>$B$633&amp;" * "&amp;D76</f>
        <v>rigid_energy * rigid_PS_WG_SS_mass_mechanical</v>
      </c>
      <c r="H647" s="220"/>
      <c r="I647" s="6" t="str">
        <f t="shared" si="122"/>
        <v>PS</v>
      </c>
      <c r="J647" t="s">
        <v>816</v>
      </c>
      <c r="K647">
        <f>C633*K76</f>
        <v>0</v>
      </c>
      <c r="L647" t="s">
        <v>121</v>
      </c>
      <c r="M647" t="s">
        <v>169</v>
      </c>
      <c r="N647" s="19"/>
    </row>
    <row r="648" spans="1:14" ht="15" customHeight="1" x14ac:dyDescent="0.2">
      <c r="A648" s="19"/>
      <c r="B648" s="220"/>
      <c r="C648" s="6" t="str">
        <f t="shared" si="121"/>
        <v>Other</v>
      </c>
      <c r="D648" t="s">
        <v>797</v>
      </c>
      <c r="E648">
        <f>E77*$C$633</f>
        <v>1810.6439999999993</v>
      </c>
      <c r="F648" t="str">
        <f t="shared" si="123"/>
        <v>MJ</v>
      </c>
      <c r="G648" s="32" t="str">
        <f>$B$633&amp;" * "&amp;D77</f>
        <v>rigid_energy * rigid_Oth_WG_SS_mass_mechanical</v>
      </c>
      <c r="H648" s="220"/>
      <c r="I648" s="6" t="str">
        <f t="shared" si="122"/>
        <v>Other</v>
      </c>
      <c r="J648" t="s">
        <v>817</v>
      </c>
      <c r="K648">
        <f>C633*K77</f>
        <v>0</v>
      </c>
      <c r="L648" t="s">
        <v>121</v>
      </c>
      <c r="M648" t="s">
        <v>169</v>
      </c>
      <c r="N648" s="19"/>
    </row>
    <row r="649" spans="1:14" ht="15" customHeight="1" x14ac:dyDescent="0.2">
      <c r="A649" s="19"/>
      <c r="B649" s="220" t="s">
        <v>42</v>
      </c>
      <c r="C649" s="6" t="str">
        <f t="shared" si="121"/>
        <v>PET</v>
      </c>
      <c r="D649" t="s">
        <v>798</v>
      </c>
      <c r="E649">
        <f>E78*$C$634</f>
        <v>0</v>
      </c>
      <c r="F649" t="str">
        <f t="shared" si="123"/>
        <v>MJ</v>
      </c>
      <c r="G649" s="32" t="str">
        <f>$B$634&amp;" * "&amp;D78</f>
        <v>soft_energy * soft_PET_WG_SS_mass_mechanical</v>
      </c>
      <c r="H649" s="220" t="s">
        <v>42</v>
      </c>
      <c r="I649" s="6" t="str">
        <f t="shared" si="122"/>
        <v>PET</v>
      </c>
      <c r="J649" t="s">
        <v>818</v>
      </c>
      <c r="K649">
        <v>0</v>
      </c>
      <c r="L649" t="s">
        <v>121</v>
      </c>
      <c r="M649" t="s">
        <v>169</v>
      </c>
      <c r="N649" s="19"/>
    </row>
    <row r="650" spans="1:14" ht="15" customHeight="1" x14ac:dyDescent="0.2">
      <c r="A650" s="19"/>
      <c r="B650" s="220"/>
      <c r="C650" s="6" t="str">
        <f t="shared" si="121"/>
        <v>PE</v>
      </c>
      <c r="D650" t="s">
        <v>799</v>
      </c>
      <c r="E650">
        <f>E79*$C$634</f>
        <v>10322.260199999999</v>
      </c>
      <c r="F650" t="str">
        <f t="shared" si="123"/>
        <v>MJ</v>
      </c>
      <c r="G650" s="32" t="str">
        <f>$B$634&amp;" * "&amp;D79</f>
        <v>soft_energy * soft_PE_WG_SS_mass_mechanical</v>
      </c>
      <c r="H650" s="220"/>
      <c r="I650" s="6" t="str">
        <f t="shared" si="122"/>
        <v>PE</v>
      </c>
      <c r="J650" t="s">
        <v>819</v>
      </c>
      <c r="K650">
        <v>0</v>
      </c>
      <c r="L650" t="s">
        <v>121</v>
      </c>
      <c r="M650" t="s">
        <v>169</v>
      </c>
      <c r="N650" s="19"/>
    </row>
    <row r="651" spans="1:14" ht="15" customHeight="1" x14ac:dyDescent="0.2">
      <c r="A651" s="19"/>
      <c r="B651" s="220"/>
      <c r="C651" s="6" t="str">
        <f t="shared" si="121"/>
        <v>PP</v>
      </c>
      <c r="D651" t="s">
        <v>800</v>
      </c>
      <c r="E651">
        <f>E80*$C$634</f>
        <v>0</v>
      </c>
      <c r="F651" t="str">
        <f t="shared" si="123"/>
        <v>MJ</v>
      </c>
      <c r="G651" s="32" t="str">
        <f>$B$634&amp;" * "&amp;D80</f>
        <v>soft_energy * soft_PP_WG_SS_mass_mechanical</v>
      </c>
      <c r="H651" s="220"/>
      <c r="I651" s="6" t="str">
        <f t="shared" si="122"/>
        <v>PP</v>
      </c>
      <c r="J651" t="s">
        <v>820</v>
      </c>
      <c r="K651">
        <v>0</v>
      </c>
      <c r="L651" t="s">
        <v>121</v>
      </c>
      <c r="M651" t="s">
        <v>169</v>
      </c>
      <c r="N651" s="19"/>
    </row>
    <row r="652" spans="1:14" ht="15" customHeight="1" x14ac:dyDescent="0.2">
      <c r="A652" s="19"/>
      <c r="B652" s="220"/>
      <c r="C652" s="6" t="str">
        <f t="shared" si="121"/>
        <v>PS</v>
      </c>
      <c r="D652" t="s">
        <v>801</v>
      </c>
      <c r="E652">
        <f>E81*$C$634</f>
        <v>0</v>
      </c>
      <c r="F652" t="str">
        <f t="shared" si="123"/>
        <v>MJ</v>
      </c>
      <c r="G652" s="32" t="str">
        <f>$B$634&amp;" * "&amp;D81</f>
        <v>soft_energy * soft_PS_WG_SS_mass_mechanical</v>
      </c>
      <c r="H652" s="220"/>
      <c r="I652" s="6" t="str">
        <f t="shared" si="122"/>
        <v>PS</v>
      </c>
      <c r="J652" t="s">
        <v>821</v>
      </c>
      <c r="K652">
        <f>C634*K81</f>
        <v>0</v>
      </c>
      <c r="L652" t="s">
        <v>121</v>
      </c>
      <c r="M652" t="s">
        <v>169</v>
      </c>
      <c r="N652" s="19"/>
    </row>
    <row r="653" spans="1:14" ht="15" customHeight="1" x14ac:dyDescent="0.2">
      <c r="A653" s="19"/>
      <c r="B653" s="220"/>
      <c r="C653" s="6" t="str">
        <f t="shared" si="121"/>
        <v>Other</v>
      </c>
      <c r="D653" t="s">
        <v>802</v>
      </c>
      <c r="E653">
        <f>E82*$C$634</f>
        <v>3440.753400000001</v>
      </c>
      <c r="F653" t="str">
        <f t="shared" si="123"/>
        <v>MJ</v>
      </c>
      <c r="G653" s="32" t="str">
        <f>$B$634&amp;" * "&amp;D82</f>
        <v>soft_energy * soft_Oth_WG_SS_mass_mechanical</v>
      </c>
      <c r="H653" s="220"/>
      <c r="I653" s="6" t="str">
        <f t="shared" si="122"/>
        <v>Other</v>
      </c>
      <c r="J653" t="s">
        <v>822</v>
      </c>
      <c r="K653">
        <f>C634*K82</f>
        <v>0</v>
      </c>
      <c r="L653" t="s">
        <v>121</v>
      </c>
      <c r="M653" t="s">
        <v>169</v>
      </c>
      <c r="N653" s="19"/>
    </row>
    <row r="654" spans="1:14" ht="15" customHeight="1" x14ac:dyDescent="0.2">
      <c r="A654" s="19"/>
      <c r="B654" s="220" t="s">
        <v>19</v>
      </c>
      <c r="C654" s="6" t="str">
        <f t="shared" si="121"/>
        <v>PET</v>
      </c>
      <c r="D654" t="s">
        <v>803</v>
      </c>
      <c r="E654">
        <f>$C$635*E83</f>
        <v>0</v>
      </c>
      <c r="F654" t="str">
        <f t="shared" si="123"/>
        <v>MJ</v>
      </c>
      <c r="G654" s="32" t="str">
        <f>$B$635&amp;" * "&amp;D83</f>
        <v>nonrec_energy * other_PET_WG_SS_mass_mechanical</v>
      </c>
      <c r="H654" s="220" t="s">
        <v>19</v>
      </c>
      <c r="I654" s="6" t="str">
        <f t="shared" si="122"/>
        <v>PET</v>
      </c>
      <c r="J654" t="s">
        <v>803</v>
      </c>
      <c r="K654">
        <f>$C$635*K83</f>
        <v>0</v>
      </c>
      <c r="L654" t="s">
        <v>121</v>
      </c>
      <c r="M654" t="s">
        <v>169</v>
      </c>
      <c r="N654" s="19"/>
    </row>
    <row r="655" spans="1:14" ht="15" customHeight="1" x14ac:dyDescent="0.2">
      <c r="A655" s="19"/>
      <c r="B655" s="220"/>
      <c r="C655" s="6" t="str">
        <f t="shared" si="121"/>
        <v>PE</v>
      </c>
      <c r="D655" t="s">
        <v>804</v>
      </c>
      <c r="E655">
        <f>$C$635*E84</f>
        <v>0</v>
      </c>
      <c r="F655" t="str">
        <f t="shared" si="123"/>
        <v>MJ</v>
      </c>
      <c r="G655" s="32" t="str">
        <f t="shared" ref="G655:G658" si="124">$B$635&amp;" * "&amp;D84</f>
        <v>nonrec_energy * other_PE_WG_SS_mass_mechanical</v>
      </c>
      <c r="H655" s="220"/>
      <c r="I655" s="6" t="str">
        <f t="shared" si="122"/>
        <v>PE</v>
      </c>
      <c r="J655" t="s">
        <v>804</v>
      </c>
      <c r="K655">
        <f>$C$635*K84</f>
        <v>0</v>
      </c>
      <c r="L655" t="s">
        <v>121</v>
      </c>
      <c r="M655" t="s">
        <v>169</v>
      </c>
      <c r="N655" s="19"/>
    </row>
    <row r="656" spans="1:14" ht="15" customHeight="1" x14ac:dyDescent="0.2">
      <c r="A656" s="19"/>
      <c r="B656" s="220"/>
      <c r="C656" s="6" t="str">
        <f t="shared" si="121"/>
        <v>PP</v>
      </c>
      <c r="D656" t="s">
        <v>805</v>
      </c>
      <c r="E656">
        <f>$C$635*E85</f>
        <v>0</v>
      </c>
      <c r="F656" t="str">
        <f t="shared" si="123"/>
        <v>MJ</v>
      </c>
      <c r="G656" s="32" t="str">
        <f t="shared" si="124"/>
        <v>nonrec_energy * other_PP_WG_SS_mass_mechanical</v>
      </c>
      <c r="H656" s="220"/>
      <c r="I656" s="6" t="str">
        <f t="shared" si="122"/>
        <v>PP</v>
      </c>
      <c r="J656" t="s">
        <v>805</v>
      </c>
      <c r="K656">
        <f>$C$635*K85</f>
        <v>0</v>
      </c>
      <c r="L656" t="s">
        <v>121</v>
      </c>
      <c r="M656" t="s">
        <v>169</v>
      </c>
      <c r="N656" s="19"/>
    </row>
    <row r="657" spans="1:14" ht="15" customHeight="1" x14ac:dyDescent="0.2">
      <c r="A657" s="19"/>
      <c r="B657" s="220"/>
      <c r="C657" s="6" t="str">
        <f t="shared" si="121"/>
        <v>PS</v>
      </c>
      <c r="D657" t="s">
        <v>806</v>
      </c>
      <c r="E657">
        <f>$C$635*E86</f>
        <v>0</v>
      </c>
      <c r="F657" t="str">
        <f t="shared" si="123"/>
        <v>MJ</v>
      </c>
      <c r="G657" s="32" t="str">
        <f t="shared" si="124"/>
        <v>nonrec_energy * other_PS_WG_SS_mass_mechanical</v>
      </c>
      <c r="H657" s="220"/>
      <c r="I657" s="6" t="str">
        <f t="shared" si="122"/>
        <v>PS</v>
      </c>
      <c r="J657" t="s">
        <v>823</v>
      </c>
      <c r="K657">
        <f>$C$635*K86</f>
        <v>0</v>
      </c>
      <c r="L657" t="s">
        <v>121</v>
      </c>
      <c r="M657" t="s">
        <v>169</v>
      </c>
      <c r="N657" s="19"/>
    </row>
    <row r="658" spans="1:14" ht="15" customHeight="1" x14ac:dyDescent="0.2">
      <c r="A658" s="19"/>
      <c r="B658" s="227"/>
      <c r="C658" s="60" t="str">
        <f t="shared" si="121"/>
        <v>Other</v>
      </c>
      <c r="D658" s="44" t="s">
        <v>807</v>
      </c>
      <c r="E658">
        <f>$C$635*E87</f>
        <v>2969.083999999998</v>
      </c>
      <c r="F658" s="44" t="str">
        <f t="shared" si="123"/>
        <v>MJ</v>
      </c>
      <c r="G658" s="61" t="str">
        <f t="shared" si="124"/>
        <v>nonrec_energy * other_Oth_WG_SS_mass_mechanical</v>
      </c>
      <c r="H658" s="220"/>
      <c r="I658" s="6" t="str">
        <f t="shared" si="122"/>
        <v>Other</v>
      </c>
      <c r="J658" t="s">
        <v>824</v>
      </c>
      <c r="K658">
        <f>$C$635*K87</f>
        <v>0</v>
      </c>
      <c r="L658" t="str">
        <f>L657</f>
        <v>MJ</v>
      </c>
      <c r="M658" s="44" t="s">
        <v>169</v>
      </c>
      <c r="N658" s="19"/>
    </row>
    <row r="659" spans="1:14" ht="25" customHeight="1" x14ac:dyDescent="0.2">
      <c r="A659" s="19"/>
      <c r="B659" s="214" t="s">
        <v>45</v>
      </c>
      <c r="C659" s="214"/>
      <c r="D659" s="214"/>
      <c r="E659" s="214"/>
      <c r="F659" s="214"/>
      <c r="G659" s="214"/>
      <c r="H659" s="214"/>
      <c r="I659" s="214"/>
      <c r="J659" s="214"/>
      <c r="K659" s="214"/>
      <c r="L659" s="214"/>
      <c r="M659" s="214"/>
      <c r="N659" s="19"/>
    </row>
    <row r="660" spans="1:14" ht="15" customHeight="1" x14ac:dyDescent="0.2">
      <c r="A660" s="19"/>
      <c r="B660" s="53" t="s">
        <v>46</v>
      </c>
      <c r="C660" s="10" t="s">
        <v>3</v>
      </c>
      <c r="D660" s="10" t="s">
        <v>4</v>
      </c>
      <c r="E660" s="53" t="s">
        <v>7</v>
      </c>
      <c r="F660" s="10"/>
      <c r="G660" s="40"/>
      <c r="H660" s="53" t="s">
        <v>49</v>
      </c>
      <c r="I660" s="53" t="s">
        <v>3</v>
      </c>
      <c r="J660" s="53" t="s">
        <v>4</v>
      </c>
      <c r="K660" s="53" t="s">
        <v>7</v>
      </c>
      <c r="L660" s="10"/>
      <c r="M660" s="10"/>
      <c r="N660" s="19"/>
    </row>
    <row r="661" spans="1:14" ht="15" customHeight="1" x14ac:dyDescent="0.2">
      <c r="A661" s="19"/>
      <c r="B661" t="s">
        <v>942</v>
      </c>
      <c r="C661">
        <f>SUM(E639:E643)</f>
        <v>9810.99</v>
      </c>
      <c r="D661" t="s">
        <v>121</v>
      </c>
      <c r="E661" t="s">
        <v>1095</v>
      </c>
      <c r="F661" s="2"/>
      <c r="G661" s="4"/>
      <c r="H661" t="s">
        <v>941</v>
      </c>
      <c r="I661">
        <f>SUM(K639:K643)</f>
        <v>0</v>
      </c>
      <c r="J661" t="s">
        <v>121</v>
      </c>
      <c r="K661" t="s">
        <v>1070</v>
      </c>
      <c r="L661" s="2"/>
      <c r="M661" s="2"/>
      <c r="N661" s="19"/>
    </row>
    <row r="662" spans="1:14" ht="15" customHeight="1" x14ac:dyDescent="0.2">
      <c r="A662" s="19"/>
      <c r="B662" t="s">
        <v>943</v>
      </c>
      <c r="C662">
        <f>SUM(E644:E648)</f>
        <v>7242.5759999999982</v>
      </c>
      <c r="D662" t="str">
        <f>D661</f>
        <v>MJ</v>
      </c>
      <c r="E662" t="s">
        <v>1096</v>
      </c>
      <c r="F662" s="2"/>
      <c r="G662" s="4"/>
      <c r="H662" t="s">
        <v>947</v>
      </c>
      <c r="I662">
        <f>SUM(K644:K648)</f>
        <v>0</v>
      </c>
      <c r="J662" t="str">
        <f>J661</f>
        <v>MJ</v>
      </c>
      <c r="K662" t="s">
        <v>1071</v>
      </c>
      <c r="L662" s="2"/>
      <c r="M662" s="2"/>
      <c r="N662" s="19"/>
    </row>
    <row r="663" spans="1:14" ht="15" customHeight="1" x14ac:dyDescent="0.2">
      <c r="A663" s="19"/>
      <c r="B663" t="s">
        <v>944</v>
      </c>
      <c r="C663">
        <f>SUM(E649:E653)</f>
        <v>13763.0136</v>
      </c>
      <c r="D663" t="str">
        <f>D662</f>
        <v>MJ</v>
      </c>
      <c r="E663" t="s">
        <v>1097</v>
      </c>
      <c r="F663" s="2"/>
      <c r="G663" s="4"/>
      <c r="H663" t="s">
        <v>948</v>
      </c>
      <c r="I663">
        <f>SUM(K649:K653)</f>
        <v>0</v>
      </c>
      <c r="J663" t="str">
        <f>J662</f>
        <v>MJ</v>
      </c>
      <c r="K663" t="s">
        <v>1072</v>
      </c>
      <c r="L663" s="2"/>
      <c r="M663" s="2"/>
      <c r="N663" s="19"/>
    </row>
    <row r="664" spans="1:14" ht="15" customHeight="1" thickBot="1" x14ac:dyDescent="0.25">
      <c r="A664" s="19"/>
      <c r="B664" s="8" t="s">
        <v>945</v>
      </c>
      <c r="C664" s="8">
        <f>SUM(E654:E658)</f>
        <v>2969.083999999998</v>
      </c>
      <c r="D664" s="8" t="s">
        <v>121</v>
      </c>
      <c r="E664" s="8" t="s">
        <v>1098</v>
      </c>
      <c r="F664" s="8"/>
      <c r="G664" s="87"/>
      <c r="H664" s="8" t="s">
        <v>949</v>
      </c>
      <c r="I664" s="88">
        <f>SUM(K654:K658)</f>
        <v>0</v>
      </c>
      <c r="J664" s="8" t="str">
        <f>J663</f>
        <v>MJ</v>
      </c>
      <c r="K664" s="8" t="s">
        <v>1100</v>
      </c>
      <c r="L664" s="8"/>
      <c r="M664" s="8"/>
      <c r="N664" s="19"/>
    </row>
    <row r="665" spans="1:14" ht="15" customHeight="1" thickTop="1" x14ac:dyDescent="0.2">
      <c r="A665" s="19"/>
      <c r="B665" s="44" t="s">
        <v>946</v>
      </c>
      <c r="C665" s="44">
        <f>SUM(C661:C664)</f>
        <v>33785.663599999993</v>
      </c>
      <c r="D665" s="44" t="str">
        <f>D663</f>
        <v>MJ</v>
      </c>
      <c r="E665" s="44" t="s">
        <v>1099</v>
      </c>
      <c r="F665" s="56"/>
      <c r="G665" s="57"/>
      <c r="H665" s="44" t="s">
        <v>950</v>
      </c>
      <c r="I665" s="44">
        <f>SUM(I661:I664)</f>
        <v>0</v>
      </c>
      <c r="J665" s="44" t="str">
        <f>J664</f>
        <v>MJ</v>
      </c>
      <c r="K665" s="44" t="s">
        <v>1093</v>
      </c>
      <c r="L665" s="56"/>
      <c r="M665" s="56"/>
      <c r="N665" s="19"/>
    </row>
    <row r="666" spans="1:14" ht="15" customHeight="1" x14ac:dyDescent="0.2">
      <c r="A666" s="19"/>
      <c r="B666" s="125" t="s">
        <v>2704</v>
      </c>
      <c r="C666" s="125" t="str">
        <f>IF(C665+I665=C632*($C$41*$C$39)+C633*($C$42*$C$39)+C634*($C$43*$C$39)+C635*($C$44*$C$39),"true")</f>
        <v>true</v>
      </c>
      <c r="D666" s="125"/>
      <c r="E666" s="125"/>
      <c r="F666" s="125"/>
      <c r="G666" s="125"/>
      <c r="H666" s="125"/>
      <c r="I666" s="125"/>
      <c r="J666" s="125"/>
      <c r="K666" s="125"/>
      <c r="L666" s="125"/>
      <c r="M666" s="125"/>
      <c r="N666" s="19"/>
    </row>
    <row r="667" spans="1:14" ht="15" customHeight="1" x14ac:dyDescent="0.2">
      <c r="A667" s="19"/>
      <c r="B667" s="19"/>
      <c r="C667" s="19"/>
      <c r="D667" s="19"/>
      <c r="E667" s="19"/>
      <c r="F667" s="19"/>
      <c r="G667" s="19"/>
      <c r="H667" s="19"/>
      <c r="I667" s="19"/>
      <c r="J667" s="19"/>
      <c r="K667" s="19"/>
      <c r="L667" s="19"/>
      <c r="M667" s="19"/>
      <c r="N667" s="19"/>
    </row>
    <row r="668" spans="1:14" ht="15" customHeight="1" x14ac:dyDescent="0.2">
      <c r="A668" s="19"/>
      <c r="B668" s="19"/>
      <c r="C668" s="19"/>
      <c r="D668" s="19"/>
      <c r="E668" s="19"/>
      <c r="F668" s="19"/>
      <c r="G668" s="19"/>
      <c r="H668" s="19"/>
      <c r="I668" s="19"/>
      <c r="J668" s="19"/>
      <c r="K668" s="19"/>
      <c r="L668" s="19"/>
      <c r="M668" s="19"/>
      <c r="N668" s="19"/>
    </row>
    <row r="669" spans="1:14" ht="15" customHeight="1" x14ac:dyDescent="0.2">
      <c r="A669" s="19"/>
      <c r="B669" s="19"/>
      <c r="C669" s="19"/>
      <c r="D669" s="19"/>
      <c r="E669" s="19"/>
      <c r="F669" s="19"/>
      <c r="G669" s="19"/>
      <c r="H669" s="19"/>
      <c r="I669" s="19"/>
      <c r="J669" s="19"/>
      <c r="K669" s="19"/>
      <c r="L669" s="19"/>
      <c r="M669" s="19"/>
      <c r="N669" s="19"/>
    </row>
    <row r="670" spans="1:14" ht="25" customHeight="1" x14ac:dyDescent="0.2">
      <c r="A670" s="19"/>
      <c r="B670" s="214" t="s">
        <v>51</v>
      </c>
      <c r="C670" s="214"/>
      <c r="D670" s="214"/>
      <c r="E670" s="214"/>
      <c r="F670" s="214"/>
      <c r="G670" s="214"/>
      <c r="H670" s="214"/>
      <c r="I670" s="214"/>
      <c r="J670" s="214"/>
      <c r="K670" s="214"/>
      <c r="L670" s="214"/>
      <c r="M670" s="214"/>
      <c r="N670" s="19"/>
    </row>
    <row r="671" spans="1:14" ht="25" customHeight="1" x14ac:dyDescent="0.2">
      <c r="A671" s="19"/>
      <c r="B671" s="214" t="s">
        <v>53</v>
      </c>
      <c r="C671" s="214"/>
      <c r="D671" s="214"/>
      <c r="E671" s="214"/>
      <c r="F671" s="214"/>
      <c r="G671" s="214"/>
      <c r="H671" s="214"/>
      <c r="I671" s="214"/>
      <c r="J671" s="214"/>
      <c r="K671" s="214"/>
      <c r="L671" s="214"/>
      <c r="M671" s="214"/>
      <c r="N671" s="19"/>
    </row>
    <row r="672" spans="1:14" ht="25" customHeight="1" x14ac:dyDescent="0.2">
      <c r="A672" s="19"/>
      <c r="B672" s="214" t="s">
        <v>54</v>
      </c>
      <c r="C672" s="214"/>
      <c r="D672" s="214"/>
      <c r="E672" s="214"/>
      <c r="F672" s="214"/>
      <c r="G672" s="223"/>
      <c r="H672" s="214" t="s">
        <v>48</v>
      </c>
      <c r="I672" s="214"/>
      <c r="J672" s="214"/>
      <c r="K672" s="214"/>
      <c r="L672" s="214"/>
      <c r="M672" s="214"/>
      <c r="N672" s="19"/>
    </row>
    <row r="673" spans="1:14" ht="15" customHeight="1" x14ac:dyDescent="0.2">
      <c r="A673" s="19"/>
      <c r="B673" s="2" t="s">
        <v>21</v>
      </c>
      <c r="C673" s="3" t="s">
        <v>20</v>
      </c>
      <c r="D673" s="2" t="s">
        <v>99</v>
      </c>
      <c r="E673" s="2" t="s">
        <v>3</v>
      </c>
      <c r="F673" s="2" t="s">
        <v>4</v>
      </c>
      <c r="G673" s="4" t="s">
        <v>43</v>
      </c>
      <c r="H673" s="2" t="s">
        <v>21</v>
      </c>
      <c r="I673" s="3" t="s">
        <v>20</v>
      </c>
      <c r="J673" s="2" t="str">
        <f>D673</f>
        <v>Name</v>
      </c>
      <c r="K673" s="2" t="s">
        <v>3</v>
      </c>
      <c r="L673" s="2" t="s">
        <v>4</v>
      </c>
      <c r="M673" s="2" t="s">
        <v>43</v>
      </c>
      <c r="N673" s="19"/>
    </row>
    <row r="674" spans="1:14" ht="15" customHeight="1" x14ac:dyDescent="0.2">
      <c r="A674" s="19"/>
      <c r="B674" s="220" t="s">
        <v>14</v>
      </c>
      <c r="C674" s="6" t="str">
        <f>C639</f>
        <v>PET</v>
      </c>
      <c r="D674" t="s">
        <v>825</v>
      </c>
      <c r="E674" s="33">
        <f>$C$632*E113</f>
        <v>6769.5830999999998</v>
      </c>
      <c r="F674" t="s">
        <v>121</v>
      </c>
      <c r="G674" s="32" t="str">
        <f>$B$632&amp;" * "&amp;D113</f>
        <v>bottle_energy * bottle_PET_SS_COL_mass_mechanical</v>
      </c>
      <c r="H674" s="220" t="s">
        <v>14</v>
      </c>
      <c r="I674" s="6" t="str">
        <f>C674</f>
        <v>PET</v>
      </c>
      <c r="J674" t="s">
        <v>840</v>
      </c>
      <c r="K674" s="33">
        <f>E639-E674</f>
        <v>752.17590000000018</v>
      </c>
      <c r="L674" t="s">
        <v>121</v>
      </c>
      <c r="M674" t="str">
        <f>D639&amp;" - "&amp;D674</f>
        <v>bottle_PET_WG_SS_energy_mechanical - bottle_PET_SS_COL_energy_mechanical</v>
      </c>
      <c r="N674" s="19"/>
    </row>
    <row r="675" spans="1:14" ht="15" customHeight="1" x14ac:dyDescent="0.2">
      <c r="A675" s="19"/>
      <c r="B675" s="220"/>
      <c r="C675" s="6" t="str">
        <f t="shared" ref="C675:C693" si="125">C640</f>
        <v>PE</v>
      </c>
      <c r="D675" t="s">
        <v>826</v>
      </c>
      <c r="E675" s="33">
        <f>$C$632*E114</f>
        <v>2060.3078999999998</v>
      </c>
      <c r="F675" t="str">
        <f>F674</f>
        <v>MJ</v>
      </c>
      <c r="G675" s="32" t="str">
        <f>$B$632&amp;" * "&amp;D114</f>
        <v>bottle_energy * bottle_PE_SS_COL_mass_mechanical</v>
      </c>
      <c r="H675" s="220"/>
      <c r="I675" s="6" t="str">
        <f t="shared" ref="I675:I693" si="126">C675</f>
        <v>PE</v>
      </c>
      <c r="J675" t="s">
        <v>841</v>
      </c>
      <c r="K675" s="33">
        <f>E640-E675</f>
        <v>228.92309999999998</v>
      </c>
      <c r="L675" t="str">
        <f>L674</f>
        <v>MJ</v>
      </c>
      <c r="M675" t="str">
        <f t="shared" ref="M675:M688" si="127">D640&amp;" - "&amp;D675</f>
        <v>bottle_PE_WG_SS_energy_mechanical - bottle_PE_SS_COL_energy_mechanical</v>
      </c>
      <c r="N675" s="19"/>
    </row>
    <row r="676" spans="1:14" ht="15" customHeight="1" x14ac:dyDescent="0.2">
      <c r="A676" s="19"/>
      <c r="B676" s="220"/>
      <c r="C676" s="6" t="str">
        <f t="shared" si="125"/>
        <v>PP</v>
      </c>
      <c r="D676" t="s">
        <v>827</v>
      </c>
      <c r="E676" s="33">
        <f>$C$632*E115</f>
        <v>0</v>
      </c>
      <c r="F676" t="str">
        <f t="shared" ref="F676:F688" si="128">F675</f>
        <v>MJ</v>
      </c>
      <c r="G676" s="32" t="str">
        <f>$B$632&amp;" * "&amp;D115</f>
        <v>bottle_energy * bottle_PP_SS_COL_mass_mechanical</v>
      </c>
      <c r="H676" s="220"/>
      <c r="I676" s="6" t="str">
        <f t="shared" si="126"/>
        <v>PP</v>
      </c>
      <c r="J676" t="s">
        <v>842</v>
      </c>
      <c r="K676" s="33">
        <f>E641-E676</f>
        <v>0</v>
      </c>
      <c r="L676" t="str">
        <f t="shared" ref="L676:L693" si="129">L675</f>
        <v>MJ</v>
      </c>
      <c r="M676" t="str">
        <f t="shared" si="127"/>
        <v>bottle_PP_WG_SS_energy_mechanical - bottle_PP_SS_COL_energy_mechanical</v>
      </c>
      <c r="N676" s="19"/>
    </row>
    <row r="677" spans="1:14" ht="15" customHeight="1" x14ac:dyDescent="0.2">
      <c r="A677" s="19"/>
      <c r="B677" s="220"/>
      <c r="C677" s="6" t="str">
        <f t="shared" si="125"/>
        <v>PS</v>
      </c>
      <c r="D677" t="s">
        <v>828</v>
      </c>
      <c r="E677" s="33">
        <f>$C$632*E116</f>
        <v>0</v>
      </c>
      <c r="F677" t="str">
        <f t="shared" si="128"/>
        <v>MJ</v>
      </c>
      <c r="G677" s="32" t="str">
        <f>$B$632&amp;" * "&amp;D116</f>
        <v>bottle_energy * bottle_PS_SS_COL_mass_mechanical</v>
      </c>
      <c r="H677" s="220"/>
      <c r="I677" s="6" t="str">
        <f t="shared" si="126"/>
        <v>PS</v>
      </c>
      <c r="J677" t="s">
        <v>843</v>
      </c>
      <c r="K677" s="33">
        <f t="shared" ref="K677:K693" si="130">E642-E677</f>
        <v>0</v>
      </c>
      <c r="L677" t="str">
        <f t="shared" si="129"/>
        <v>MJ</v>
      </c>
      <c r="M677" t="str">
        <f t="shared" si="127"/>
        <v>bottle_PS_WG_SS_energy_mechanical - bottle_PS_SS_COL_energy_mechanical</v>
      </c>
      <c r="N677" s="19"/>
    </row>
    <row r="678" spans="1:14" ht="15" customHeight="1" x14ac:dyDescent="0.2">
      <c r="A678" s="19"/>
      <c r="B678" s="220"/>
      <c r="C678" s="6" t="str">
        <f t="shared" si="125"/>
        <v>Other</v>
      </c>
      <c r="D678" t="s">
        <v>829</v>
      </c>
      <c r="E678" s="33">
        <f>$C$632*E117</f>
        <v>0</v>
      </c>
      <c r="F678" t="str">
        <f t="shared" si="128"/>
        <v>MJ</v>
      </c>
      <c r="G678" s="32" t="str">
        <f>$B$632&amp;" * "&amp;D117</f>
        <v>bottle_energy * bottle_Oth_SS_COL_mass_mechanical</v>
      </c>
      <c r="H678" s="220"/>
      <c r="I678" s="6" t="str">
        <f t="shared" si="126"/>
        <v>Other</v>
      </c>
      <c r="J678" t="s">
        <v>844</v>
      </c>
      <c r="K678" s="33">
        <f t="shared" si="130"/>
        <v>0</v>
      </c>
      <c r="L678" t="str">
        <f t="shared" si="129"/>
        <v>MJ</v>
      </c>
      <c r="M678" t="str">
        <f t="shared" si="127"/>
        <v>bottle_Oth_WG_SS_energy_mechanical - bottle_Oth_SS_COL_energy_mechanical</v>
      </c>
      <c r="N678" s="19"/>
    </row>
    <row r="679" spans="1:14" ht="15" customHeight="1" x14ac:dyDescent="0.2">
      <c r="A679" s="19"/>
      <c r="B679" s="220" t="s">
        <v>15</v>
      </c>
      <c r="C679" s="6" t="str">
        <f t="shared" si="125"/>
        <v>PET</v>
      </c>
      <c r="D679" t="s">
        <v>830</v>
      </c>
      <c r="E679" s="33">
        <f>$C$633*E118</f>
        <v>1303.6636799999999</v>
      </c>
      <c r="F679" t="str">
        <f t="shared" si="128"/>
        <v>MJ</v>
      </c>
      <c r="G679" s="32" t="str">
        <f>$B$633&amp;" * "&amp;D118</f>
        <v>rigid_energy * rigid_PET_SS_COL_mass_mechanical</v>
      </c>
      <c r="H679" s="220" t="s">
        <v>15</v>
      </c>
      <c r="I679" s="6" t="str">
        <f t="shared" si="126"/>
        <v>PET</v>
      </c>
      <c r="J679" t="s">
        <v>845</v>
      </c>
      <c r="K679" s="33">
        <f t="shared" si="130"/>
        <v>144.85151999999994</v>
      </c>
      <c r="L679" t="str">
        <f t="shared" si="129"/>
        <v>MJ</v>
      </c>
      <c r="M679" t="str">
        <f t="shared" si="127"/>
        <v>rigid_PET_WG_SS_energy_mechanical - rigid_PET_SS_COL_energy_mechanical</v>
      </c>
      <c r="N679" s="19"/>
    </row>
    <row r="680" spans="1:14" ht="15" customHeight="1" x14ac:dyDescent="0.2">
      <c r="A680" s="19"/>
      <c r="B680" s="220"/>
      <c r="C680" s="6" t="str">
        <f t="shared" si="125"/>
        <v>PE</v>
      </c>
      <c r="D680" t="s">
        <v>831</v>
      </c>
      <c r="E680" s="33">
        <f>$C$633*E119</f>
        <v>977.74775999999997</v>
      </c>
      <c r="F680" t="str">
        <f t="shared" si="128"/>
        <v>MJ</v>
      </c>
      <c r="G680" s="32" t="str">
        <f>$B$633&amp;" * "&amp;D119</f>
        <v>rigid_energy * rigid_PE_SS_COL_mass_mechanical</v>
      </c>
      <c r="H680" s="220"/>
      <c r="I680" s="6" t="str">
        <f t="shared" si="126"/>
        <v>PE</v>
      </c>
      <c r="J680" t="s">
        <v>846</v>
      </c>
      <c r="K680" s="33">
        <f t="shared" si="130"/>
        <v>108.6386399999999</v>
      </c>
      <c r="L680" t="str">
        <f t="shared" si="129"/>
        <v>MJ</v>
      </c>
      <c r="M680" t="str">
        <f t="shared" si="127"/>
        <v>rigid_PE_WG_SS_energy_mechanical - rigid_PE_SS_COL_energy_mechanical</v>
      </c>
      <c r="N680" s="19"/>
    </row>
    <row r="681" spans="1:14" ht="15" customHeight="1" x14ac:dyDescent="0.2">
      <c r="A681" s="19"/>
      <c r="B681" s="220"/>
      <c r="C681" s="6" t="str">
        <f t="shared" si="125"/>
        <v>PP</v>
      </c>
      <c r="D681" t="s">
        <v>832</v>
      </c>
      <c r="E681" s="33">
        <f>$C$633*E120</f>
        <v>2281.4114399999999</v>
      </c>
      <c r="F681" t="str">
        <f t="shared" si="128"/>
        <v>MJ</v>
      </c>
      <c r="G681" s="32" t="str">
        <f>$B$633&amp;" * "&amp;D120</f>
        <v>rigid_energy * rigid_PP_SS_COL_mass_mechanical</v>
      </c>
      <c r="H681" s="220"/>
      <c r="I681" s="6" t="str">
        <f t="shared" si="126"/>
        <v>PP</v>
      </c>
      <c r="J681" t="s">
        <v>847</v>
      </c>
      <c r="K681" s="33">
        <f t="shared" si="130"/>
        <v>253.49015999999983</v>
      </c>
      <c r="L681" t="str">
        <f t="shared" si="129"/>
        <v>MJ</v>
      </c>
      <c r="M681" t="str">
        <f t="shared" si="127"/>
        <v>rigid_PP_WG_SS_energy_mechanical - rigid_PP_SS_COL_energy_mechanical</v>
      </c>
      <c r="N681" s="19"/>
    </row>
    <row r="682" spans="1:14" ht="15" customHeight="1" x14ac:dyDescent="0.2">
      <c r="A682" s="19"/>
      <c r="B682" s="220"/>
      <c r="C682" s="6" t="str">
        <f t="shared" si="125"/>
        <v>PS</v>
      </c>
      <c r="D682" t="s">
        <v>833</v>
      </c>
      <c r="E682" s="33">
        <f>$C$633*E121</f>
        <v>325.91591999999997</v>
      </c>
      <c r="F682" t="str">
        <f t="shared" si="128"/>
        <v>MJ</v>
      </c>
      <c r="G682" s="32" t="str">
        <f>$B$633&amp;" * "&amp;D121</f>
        <v>rigid_energy * rigid_PS_SS_COL_mass_mechanical</v>
      </c>
      <c r="H682" s="220"/>
      <c r="I682" s="6" t="str">
        <f t="shared" si="126"/>
        <v>PS</v>
      </c>
      <c r="J682" t="s">
        <v>848</v>
      </c>
      <c r="K682" s="33">
        <f t="shared" si="130"/>
        <v>36.212879999999984</v>
      </c>
      <c r="L682" t="str">
        <f t="shared" si="129"/>
        <v>MJ</v>
      </c>
      <c r="M682" t="str">
        <f t="shared" si="127"/>
        <v>rigid_PS_WG_SS_energy_mechanical - rigid_PS_SS_COL_energy_mechanical</v>
      </c>
      <c r="N682" s="19"/>
    </row>
    <row r="683" spans="1:14" ht="15" customHeight="1" x14ac:dyDescent="0.2">
      <c r="A683" s="19"/>
      <c r="B683" s="220"/>
      <c r="C683" s="6" t="str">
        <f t="shared" si="125"/>
        <v>Other</v>
      </c>
      <c r="D683" t="s">
        <v>834</v>
      </c>
      <c r="E683" s="33">
        <f>$C$633*E122</f>
        <v>1629.5795999999993</v>
      </c>
      <c r="F683" t="str">
        <f t="shared" si="128"/>
        <v>MJ</v>
      </c>
      <c r="G683" s="32" t="str">
        <f>$B$633&amp;" * "&amp;D122</f>
        <v>rigid_energy * rigid_Oth_SS_COL_mass_mechanical</v>
      </c>
      <c r="H683" s="220"/>
      <c r="I683" s="6" t="str">
        <f t="shared" si="126"/>
        <v>Other</v>
      </c>
      <c r="J683" t="s">
        <v>849</v>
      </c>
      <c r="K683" s="33">
        <f t="shared" si="130"/>
        <v>181.06439999999998</v>
      </c>
      <c r="L683" t="str">
        <f t="shared" si="129"/>
        <v>MJ</v>
      </c>
      <c r="M683" t="str">
        <f t="shared" si="127"/>
        <v>rigid_Oth_WG_SS_energy_mechanical - rigid_Oth_SS_COL_energy_mechanical</v>
      </c>
      <c r="N683" s="19"/>
    </row>
    <row r="684" spans="1:14" ht="15" customHeight="1" x14ac:dyDescent="0.2">
      <c r="A684" s="19"/>
      <c r="B684" s="220" t="s">
        <v>42</v>
      </c>
      <c r="C684" s="6" t="str">
        <f t="shared" si="125"/>
        <v>PET</v>
      </c>
      <c r="D684" t="s">
        <v>835</v>
      </c>
      <c r="E684" s="33">
        <f>$C$634*E123</f>
        <v>0</v>
      </c>
      <c r="F684" t="str">
        <f t="shared" si="128"/>
        <v>MJ</v>
      </c>
      <c r="G684" s="32" t="str">
        <f>$B$634&amp;" * "&amp;D123</f>
        <v>soft_energy * soft_PET_SS_COL_mass_mechanical</v>
      </c>
      <c r="H684" s="220" t="s">
        <v>42</v>
      </c>
      <c r="I684" s="6" t="str">
        <f t="shared" si="126"/>
        <v>PET</v>
      </c>
      <c r="J684" t="s">
        <v>850</v>
      </c>
      <c r="K684" s="33">
        <f t="shared" si="130"/>
        <v>0</v>
      </c>
      <c r="L684" t="str">
        <f t="shared" si="129"/>
        <v>MJ</v>
      </c>
      <c r="M684" t="str">
        <f t="shared" si="127"/>
        <v>soft_PET_WG_SS_energy_mechanical - soft_PET_SS_COL_energy_mechanical</v>
      </c>
      <c r="N684" s="19"/>
    </row>
    <row r="685" spans="1:14" ht="15" customHeight="1" x14ac:dyDescent="0.2">
      <c r="A685" s="19"/>
      <c r="B685" s="220"/>
      <c r="C685" s="6" t="str">
        <f t="shared" si="125"/>
        <v>PE</v>
      </c>
      <c r="D685" t="s">
        <v>836</v>
      </c>
      <c r="E685" s="33">
        <f>$C$634*E124</f>
        <v>9290.0341799999987</v>
      </c>
      <c r="F685" t="str">
        <f t="shared" si="128"/>
        <v>MJ</v>
      </c>
      <c r="G685" s="32" t="str">
        <f>$B$634&amp;" * "&amp;D124</f>
        <v>soft_energy * soft_PE_SS_COL_mass_mechanical</v>
      </c>
      <c r="H685" s="220"/>
      <c r="I685" s="6" t="str">
        <f t="shared" si="126"/>
        <v>PE</v>
      </c>
      <c r="J685" t="s">
        <v>851</v>
      </c>
      <c r="K685" s="33">
        <f t="shared" si="130"/>
        <v>1032.2260200000001</v>
      </c>
      <c r="L685" t="str">
        <f t="shared" si="129"/>
        <v>MJ</v>
      </c>
      <c r="M685" t="str">
        <f t="shared" si="127"/>
        <v>soft_PE_WG_SS_energy_mechanical - soft_PE_SS_COL_energy_mechanical</v>
      </c>
      <c r="N685" s="19"/>
    </row>
    <row r="686" spans="1:14" ht="15" customHeight="1" x14ac:dyDescent="0.2">
      <c r="A686" s="19"/>
      <c r="B686" s="220"/>
      <c r="C686" s="6" t="str">
        <f t="shared" si="125"/>
        <v>PP</v>
      </c>
      <c r="D686" t="s">
        <v>837</v>
      </c>
      <c r="E686" s="33">
        <f>$C$634*E125</f>
        <v>0</v>
      </c>
      <c r="F686" t="str">
        <f t="shared" si="128"/>
        <v>MJ</v>
      </c>
      <c r="G686" s="32" t="str">
        <f>$B$634&amp;" * "&amp;D125</f>
        <v>soft_energy * soft_PP_SS_COL_mass_mechanical</v>
      </c>
      <c r="H686" s="220"/>
      <c r="I686" s="6" t="str">
        <f t="shared" si="126"/>
        <v>PP</v>
      </c>
      <c r="J686" t="s">
        <v>852</v>
      </c>
      <c r="K686" s="33">
        <f t="shared" si="130"/>
        <v>0</v>
      </c>
      <c r="L686" t="str">
        <f t="shared" si="129"/>
        <v>MJ</v>
      </c>
      <c r="M686" t="str">
        <f t="shared" si="127"/>
        <v>soft_PO_WG_SS_energy_mechanical - soft_PP_SS_COL_energy_mechanical</v>
      </c>
      <c r="N686" s="19"/>
    </row>
    <row r="687" spans="1:14" ht="15" customHeight="1" x14ac:dyDescent="0.2">
      <c r="A687" s="19"/>
      <c r="B687" s="220"/>
      <c r="C687" s="6" t="str">
        <f t="shared" si="125"/>
        <v>PS</v>
      </c>
      <c r="D687" t="s">
        <v>838</v>
      </c>
      <c r="E687" s="33">
        <f>$C$634*E126</f>
        <v>0</v>
      </c>
      <c r="F687" t="str">
        <f t="shared" si="128"/>
        <v>MJ</v>
      </c>
      <c r="G687" s="32" t="str">
        <f>$B$634&amp;" * "&amp;D126</f>
        <v>soft_energy * soft_PS_SS_COL_mass_mechanical</v>
      </c>
      <c r="H687" s="220"/>
      <c r="I687" s="6" t="str">
        <f t="shared" si="126"/>
        <v>PS</v>
      </c>
      <c r="J687" t="s">
        <v>853</v>
      </c>
      <c r="K687" s="33">
        <f t="shared" si="130"/>
        <v>0</v>
      </c>
      <c r="L687" t="str">
        <f t="shared" si="129"/>
        <v>MJ</v>
      </c>
      <c r="M687" t="str">
        <f t="shared" si="127"/>
        <v>soft_PS_WG_SS_energy_mechanical - soft_PS_SS_COL_energy_mechanical</v>
      </c>
      <c r="N687" s="19"/>
    </row>
    <row r="688" spans="1:14" ht="15" customHeight="1" x14ac:dyDescent="0.2">
      <c r="A688" s="19"/>
      <c r="B688" s="220"/>
      <c r="C688" s="6" t="str">
        <f t="shared" si="125"/>
        <v>Other</v>
      </c>
      <c r="D688" t="s">
        <v>839</v>
      </c>
      <c r="E688" s="33">
        <f>$C$634*E127</f>
        <v>3096.6780600000006</v>
      </c>
      <c r="F688" t="str">
        <f t="shared" si="128"/>
        <v>MJ</v>
      </c>
      <c r="G688" s="32" t="str">
        <f>$B$634&amp;" * "&amp;D127</f>
        <v>soft_energy * soft_Oth_SS_COL_mass_mechanical</v>
      </c>
      <c r="H688" s="220"/>
      <c r="I688" s="6" t="str">
        <f t="shared" si="126"/>
        <v>Other</v>
      </c>
      <c r="J688" t="s">
        <v>854</v>
      </c>
      <c r="K688" s="33">
        <f t="shared" si="130"/>
        <v>344.07534000000032</v>
      </c>
      <c r="L688" t="str">
        <f t="shared" si="129"/>
        <v>MJ</v>
      </c>
      <c r="M688" t="str">
        <f t="shared" si="127"/>
        <v>soft_Oth_WG_SS_energy_mechanical - soft_Oth_SS_COL_energy_mechanical</v>
      </c>
      <c r="N688" s="19"/>
    </row>
    <row r="689" spans="1:14" ht="15" customHeight="1" x14ac:dyDescent="0.2">
      <c r="A689" s="19"/>
      <c r="B689" s="220" t="s">
        <v>19</v>
      </c>
      <c r="C689" s="6" t="str">
        <f t="shared" si="125"/>
        <v>PET</v>
      </c>
      <c r="D689" t="s">
        <v>2736</v>
      </c>
      <c r="E689" s="33">
        <f>$C$635*E128</f>
        <v>0</v>
      </c>
      <c r="F689" t="s">
        <v>121</v>
      </c>
      <c r="G689" s="32"/>
      <c r="H689" s="220" t="s">
        <v>19</v>
      </c>
      <c r="I689" s="6" t="str">
        <f t="shared" si="126"/>
        <v>PET</v>
      </c>
      <c r="J689" t="s">
        <v>2741</v>
      </c>
      <c r="K689" s="33">
        <f t="shared" si="130"/>
        <v>0</v>
      </c>
      <c r="L689" t="str">
        <f t="shared" si="129"/>
        <v>MJ</v>
      </c>
      <c r="N689" s="19"/>
    </row>
    <row r="690" spans="1:14" ht="15" customHeight="1" x14ac:dyDescent="0.2">
      <c r="A690" s="19"/>
      <c r="B690" s="220"/>
      <c r="C690" s="6" t="str">
        <f t="shared" si="125"/>
        <v>PE</v>
      </c>
      <c r="D690" t="s">
        <v>2737</v>
      </c>
      <c r="E690" s="33">
        <f t="shared" ref="E690:E693" si="131">$C$635*E129</f>
        <v>0</v>
      </c>
      <c r="F690" t="s">
        <v>121</v>
      </c>
      <c r="G690" s="32"/>
      <c r="H690" s="220"/>
      <c r="I690" s="6" t="str">
        <f t="shared" si="126"/>
        <v>PE</v>
      </c>
      <c r="J690" t="s">
        <v>2742</v>
      </c>
      <c r="K690" s="33">
        <f t="shared" si="130"/>
        <v>0</v>
      </c>
      <c r="L690" t="str">
        <f t="shared" si="129"/>
        <v>MJ</v>
      </c>
      <c r="N690" s="19"/>
    </row>
    <row r="691" spans="1:14" ht="15" customHeight="1" x14ac:dyDescent="0.2">
      <c r="A691" s="19"/>
      <c r="B691" s="220"/>
      <c r="C691" s="6" t="str">
        <f t="shared" si="125"/>
        <v>PP</v>
      </c>
      <c r="D691" t="s">
        <v>2738</v>
      </c>
      <c r="E691" s="33">
        <f t="shared" si="131"/>
        <v>0</v>
      </c>
      <c r="F691" t="s">
        <v>121</v>
      </c>
      <c r="G691" s="32"/>
      <c r="H691" s="220"/>
      <c r="I691" s="6" t="str">
        <f t="shared" si="126"/>
        <v>PP</v>
      </c>
      <c r="J691" t="s">
        <v>2743</v>
      </c>
      <c r="K691" s="33">
        <f t="shared" si="130"/>
        <v>0</v>
      </c>
      <c r="L691" t="str">
        <f t="shared" si="129"/>
        <v>MJ</v>
      </c>
      <c r="N691" s="19"/>
    </row>
    <row r="692" spans="1:14" ht="15" customHeight="1" x14ac:dyDescent="0.2">
      <c r="A692" s="19"/>
      <c r="B692" s="220"/>
      <c r="C692" s="6" t="str">
        <f t="shared" si="125"/>
        <v>PS</v>
      </c>
      <c r="D692" t="s">
        <v>2739</v>
      </c>
      <c r="E692" s="33">
        <f t="shared" si="131"/>
        <v>0</v>
      </c>
      <c r="F692" t="s">
        <v>121</v>
      </c>
      <c r="G692" s="32"/>
      <c r="H692" s="220"/>
      <c r="I692" s="6" t="str">
        <f t="shared" si="126"/>
        <v>PS</v>
      </c>
      <c r="J692" t="s">
        <v>2744</v>
      </c>
      <c r="K692" s="33">
        <f t="shared" si="130"/>
        <v>0</v>
      </c>
      <c r="L692" t="str">
        <f t="shared" si="129"/>
        <v>MJ</v>
      </c>
      <c r="N692" s="19"/>
    </row>
    <row r="693" spans="1:14" ht="15" customHeight="1" x14ac:dyDescent="0.2">
      <c r="A693" s="19"/>
      <c r="B693" s="227"/>
      <c r="C693" s="60" t="str">
        <f t="shared" si="125"/>
        <v>Other</v>
      </c>
      <c r="D693" s="44" t="s">
        <v>2740</v>
      </c>
      <c r="E693" s="62">
        <f t="shared" si="131"/>
        <v>0</v>
      </c>
      <c r="F693" s="44" t="s">
        <v>121</v>
      </c>
      <c r="G693" s="61"/>
      <c r="H693" s="227"/>
      <c r="I693" s="60" t="str">
        <f t="shared" si="126"/>
        <v>Other</v>
      </c>
      <c r="J693" s="44" t="s">
        <v>2745</v>
      </c>
      <c r="K693" s="62">
        <f t="shared" si="130"/>
        <v>2969.083999999998</v>
      </c>
      <c r="L693" s="44" t="str">
        <f t="shared" si="129"/>
        <v>MJ</v>
      </c>
      <c r="M693" s="44"/>
      <c r="N693" s="19"/>
    </row>
    <row r="694" spans="1:14" ht="25" customHeight="1" x14ac:dyDescent="0.2">
      <c r="A694" s="19"/>
      <c r="B694" s="226" t="s">
        <v>55</v>
      </c>
      <c r="C694" s="226"/>
      <c r="D694" s="226"/>
      <c r="E694" s="226"/>
      <c r="F694" s="226"/>
      <c r="G694" s="226"/>
      <c r="H694" s="226"/>
      <c r="I694" s="226"/>
      <c r="J694" s="226"/>
      <c r="K694" s="226"/>
      <c r="L694" s="226"/>
      <c r="M694" s="226"/>
      <c r="N694" s="19"/>
    </row>
    <row r="695" spans="1:14" ht="15" customHeight="1" x14ac:dyDescent="0.2">
      <c r="A695" s="19"/>
      <c r="B695" s="2" t="s">
        <v>49</v>
      </c>
      <c r="C695" s="2" t="s">
        <v>3</v>
      </c>
      <c r="D695" s="2" t="s">
        <v>4</v>
      </c>
      <c r="E695" s="2" t="s">
        <v>7</v>
      </c>
      <c r="F695" s="2"/>
      <c r="G695" s="1"/>
      <c r="H695" s="2" t="str">
        <f>B695</f>
        <v>Parameter</v>
      </c>
      <c r="I695" s="2" t="str">
        <f>C695</f>
        <v>Value</v>
      </c>
      <c r="J695" s="2" t="str">
        <f>D695</f>
        <v>Unit</v>
      </c>
      <c r="K695" s="54" t="str">
        <f>E695</f>
        <v>Description</v>
      </c>
      <c r="L695" s="54"/>
      <c r="M695" s="54"/>
      <c r="N695" s="19"/>
    </row>
    <row r="696" spans="1:14" ht="15" customHeight="1" x14ac:dyDescent="0.2">
      <c r="A696" s="19"/>
      <c r="B696" t="s">
        <v>2752</v>
      </c>
      <c r="C696" s="33">
        <f>SUM(E674:E678)</f>
        <v>8829.8909999999996</v>
      </c>
      <c r="D696" t="s">
        <v>121</v>
      </c>
      <c r="E696" t="s">
        <v>1090</v>
      </c>
      <c r="G696" s="32"/>
      <c r="H696" t="s">
        <v>2747</v>
      </c>
      <c r="I696" s="33">
        <f>SUM(K674:K678)</f>
        <v>981.09900000000016</v>
      </c>
      <c r="J696" t="s">
        <v>121</v>
      </c>
      <c r="K696" t="s">
        <v>1070</v>
      </c>
      <c r="N696" s="19"/>
    </row>
    <row r="697" spans="1:14" ht="15" customHeight="1" x14ac:dyDescent="0.2">
      <c r="A697" s="19"/>
      <c r="B697" t="s">
        <v>2753</v>
      </c>
      <c r="C697" s="33">
        <f>SUM(E679:E683)</f>
        <v>6518.3183999999992</v>
      </c>
      <c r="D697" t="str">
        <f>D696</f>
        <v>MJ</v>
      </c>
      <c r="E697" t="s">
        <v>1091</v>
      </c>
      <c r="G697" s="32"/>
      <c r="H697" t="s">
        <v>2748</v>
      </c>
      <c r="I697" s="33">
        <f>SUM(K679:K683)</f>
        <v>724.25759999999968</v>
      </c>
      <c r="J697" t="str">
        <f>J696</f>
        <v>MJ</v>
      </c>
      <c r="K697" t="s">
        <v>1071</v>
      </c>
      <c r="N697" s="19"/>
    </row>
    <row r="698" spans="1:14" ht="15" customHeight="1" x14ac:dyDescent="0.2">
      <c r="A698" s="19"/>
      <c r="B698" t="s">
        <v>2754</v>
      </c>
      <c r="C698" s="33">
        <f>SUM(E684:E688)</f>
        <v>12386.712239999999</v>
      </c>
      <c r="D698" t="str">
        <f>D697</f>
        <v>MJ</v>
      </c>
      <c r="E698" t="s">
        <v>1127</v>
      </c>
      <c r="G698" s="32"/>
      <c r="H698" t="s">
        <v>2749</v>
      </c>
      <c r="I698" s="33">
        <f>SUM(K684:K688)</f>
        <v>1376.3013600000004</v>
      </c>
      <c r="J698" t="str">
        <f>J697</f>
        <v>MJ</v>
      </c>
      <c r="K698" t="s">
        <v>1072</v>
      </c>
      <c r="N698" s="19"/>
    </row>
    <row r="699" spans="1:14" ht="15" customHeight="1" thickBot="1" x14ac:dyDescent="0.25">
      <c r="A699" s="19"/>
      <c r="B699" s="8" t="s">
        <v>2755</v>
      </c>
      <c r="C699" s="34">
        <f>SUM(E689:E693)</f>
        <v>0</v>
      </c>
      <c r="D699" s="8" t="s">
        <v>121</v>
      </c>
      <c r="E699" s="8" t="s">
        <v>2746</v>
      </c>
      <c r="F699" s="8"/>
      <c r="G699" s="87"/>
      <c r="H699" s="8" t="s">
        <v>2750</v>
      </c>
      <c r="I699" s="34">
        <f>SUM(K689:K693)</f>
        <v>2969.083999999998</v>
      </c>
      <c r="J699" s="8" t="s">
        <v>121</v>
      </c>
      <c r="K699" s="8" t="s">
        <v>1100</v>
      </c>
      <c r="L699" s="8"/>
      <c r="M699" s="8"/>
      <c r="N699" s="19"/>
    </row>
    <row r="700" spans="1:14" ht="15" customHeight="1" thickTop="1" x14ac:dyDescent="0.2">
      <c r="A700" s="19"/>
      <c r="B700" s="44" t="s">
        <v>2756</v>
      </c>
      <c r="C700" s="62">
        <f>SUM(C696:C699)</f>
        <v>27734.92164</v>
      </c>
      <c r="D700" s="44" t="str">
        <f>D698</f>
        <v>MJ</v>
      </c>
      <c r="E700" s="44" t="s">
        <v>1092</v>
      </c>
      <c r="F700" s="44"/>
      <c r="G700" s="61"/>
      <c r="H700" s="44" t="s">
        <v>2751</v>
      </c>
      <c r="I700" s="62">
        <f>SUM(I696:I699)</f>
        <v>6050.7419599999985</v>
      </c>
      <c r="J700" s="44" t="str">
        <f>J698</f>
        <v>MJ</v>
      </c>
      <c r="K700" s="44" t="s">
        <v>1093</v>
      </c>
      <c r="L700" s="44"/>
      <c r="M700" s="44"/>
      <c r="N700" s="19"/>
    </row>
    <row r="701" spans="1:14" ht="15" customHeight="1" x14ac:dyDescent="0.2">
      <c r="A701" s="19"/>
      <c r="B701" s="125" t="s">
        <v>2704</v>
      </c>
      <c r="C701" s="125" t="str">
        <f>IF(C700+I700=C665,"true")</f>
        <v>true</v>
      </c>
      <c r="D701" s="126"/>
      <c r="E701" s="125"/>
      <c r="F701" s="125"/>
      <c r="G701" s="125"/>
      <c r="H701" s="125"/>
      <c r="I701" s="125"/>
      <c r="J701" s="125"/>
      <c r="K701" s="125"/>
      <c r="L701" s="125"/>
      <c r="M701" s="125"/>
      <c r="N701" s="19"/>
    </row>
    <row r="702" spans="1:14" ht="15" customHeight="1" x14ac:dyDescent="0.2">
      <c r="A702" s="19"/>
      <c r="B702" s="19"/>
      <c r="C702" s="19"/>
      <c r="D702" s="19"/>
      <c r="E702" s="19"/>
      <c r="F702" s="19"/>
      <c r="G702" s="19"/>
      <c r="H702" s="19"/>
      <c r="I702" s="19"/>
      <c r="J702" s="19"/>
      <c r="K702" s="19"/>
      <c r="L702" s="19"/>
      <c r="M702" s="19"/>
      <c r="N702" s="19"/>
    </row>
    <row r="703" spans="1:14" ht="15" customHeight="1" x14ac:dyDescent="0.2">
      <c r="A703" s="19"/>
      <c r="B703" s="19"/>
      <c r="C703" s="19"/>
      <c r="D703" s="19"/>
      <c r="E703" s="19"/>
      <c r="F703" s="19"/>
      <c r="G703" s="19"/>
      <c r="H703" s="19"/>
      <c r="I703" s="19"/>
      <c r="J703" s="19"/>
      <c r="K703" s="19"/>
      <c r="L703" s="19"/>
      <c r="M703" s="19"/>
      <c r="N703" s="19"/>
    </row>
    <row r="704" spans="1:14" ht="15" customHeight="1" x14ac:dyDescent="0.2">
      <c r="A704" s="19"/>
      <c r="B704" s="19"/>
      <c r="C704" s="19"/>
      <c r="D704" s="19"/>
      <c r="E704" s="19"/>
      <c r="F704" s="19"/>
      <c r="G704" s="19"/>
      <c r="H704" s="19"/>
      <c r="I704" s="19"/>
      <c r="J704" s="19"/>
      <c r="K704" s="19"/>
      <c r="L704" s="19"/>
      <c r="M704" s="19"/>
      <c r="N704" s="19"/>
    </row>
    <row r="705" spans="1:14" ht="25" customHeight="1" x14ac:dyDescent="0.2">
      <c r="A705" s="19"/>
      <c r="B705" s="214" t="s">
        <v>56</v>
      </c>
      <c r="C705" s="214"/>
      <c r="D705" s="214"/>
      <c r="E705" s="214"/>
      <c r="F705" s="214"/>
      <c r="G705" s="214"/>
      <c r="H705" s="214"/>
      <c r="I705" s="214"/>
      <c r="J705" s="214"/>
      <c r="K705" s="214"/>
      <c r="L705" s="214"/>
      <c r="M705" s="214"/>
      <c r="N705" s="19"/>
    </row>
    <row r="706" spans="1:14" ht="25" customHeight="1" x14ac:dyDescent="0.2">
      <c r="A706" s="19"/>
      <c r="B706" s="214" t="s">
        <v>57</v>
      </c>
      <c r="C706" s="214"/>
      <c r="D706" s="214"/>
      <c r="E706" s="214"/>
      <c r="F706" s="214"/>
      <c r="G706" s="214"/>
      <c r="H706" s="214"/>
      <c r="I706" s="214"/>
      <c r="J706" s="214"/>
      <c r="K706" s="214"/>
      <c r="L706" s="214"/>
      <c r="M706" s="214"/>
      <c r="N706" s="19"/>
    </row>
    <row r="707" spans="1:14" ht="25" customHeight="1" x14ac:dyDescent="0.2">
      <c r="A707" s="19"/>
      <c r="B707" s="214" t="s">
        <v>58</v>
      </c>
      <c r="C707" s="214"/>
      <c r="D707" s="214"/>
      <c r="E707" s="214"/>
      <c r="F707" s="214"/>
      <c r="G707" s="223"/>
      <c r="H707" s="214" t="s">
        <v>119</v>
      </c>
      <c r="I707" s="214"/>
      <c r="J707" s="214"/>
      <c r="K707" s="214"/>
      <c r="L707" s="214"/>
      <c r="M707" s="214"/>
      <c r="N707" s="19"/>
    </row>
    <row r="708" spans="1:14" ht="15" customHeight="1" x14ac:dyDescent="0.2">
      <c r="A708" s="19"/>
      <c r="B708" s="2" t="str">
        <f>B673</f>
        <v>Fraction</v>
      </c>
      <c r="C708" s="2" t="str">
        <f>C673</f>
        <v>Sub-fraction</v>
      </c>
      <c r="D708" s="2" t="s">
        <v>99</v>
      </c>
      <c r="E708" s="2" t="str">
        <f>E673</f>
        <v>Value</v>
      </c>
      <c r="F708" s="2" t="str">
        <f>F673</f>
        <v>Unit</v>
      </c>
      <c r="G708" s="4" t="str">
        <f>G673</f>
        <v>Equation</v>
      </c>
      <c r="H708" s="2" t="str">
        <f>H673</f>
        <v>Fraction</v>
      </c>
      <c r="I708" s="2" t="str">
        <f>I673</f>
        <v>Sub-fraction</v>
      </c>
      <c r="J708" s="2" t="str">
        <f>D708</f>
        <v>Name</v>
      </c>
      <c r="K708" s="2" t="str">
        <f>K673</f>
        <v>Value</v>
      </c>
      <c r="L708" s="2" t="str">
        <f>L673</f>
        <v>Unit</v>
      </c>
      <c r="M708" s="2" t="str">
        <f>M673</f>
        <v>Equation</v>
      </c>
      <c r="N708" s="19"/>
    </row>
    <row r="709" spans="1:14" ht="15" customHeight="1" x14ac:dyDescent="0.2">
      <c r="A709" s="19"/>
      <c r="B709" s="220" t="s">
        <v>14</v>
      </c>
      <c r="C709" s="6" t="str">
        <f t="shared" ref="C709:C723" si="132">C674</f>
        <v>PET</v>
      </c>
      <c r="D709" t="s">
        <v>855</v>
      </c>
      <c r="E709" s="33">
        <f>$C$632*E158</f>
        <v>4806.4040009999999</v>
      </c>
      <c r="F709" t="s">
        <v>121</v>
      </c>
      <c r="G709" s="32" t="str">
        <f>$B$632&amp;" * "&amp;D158</f>
        <v>bottle_energy * bottle_PET_COL_SOR_mass_mechanical</v>
      </c>
      <c r="H709" s="220" t="s">
        <v>14</v>
      </c>
      <c r="I709" s="6" t="str">
        <f>C709</f>
        <v>PET</v>
      </c>
      <c r="J709" t="s">
        <v>870</v>
      </c>
      <c r="K709" s="33">
        <f t="shared" ref="K709:K723" si="133">E674-E709</f>
        <v>1963.179099</v>
      </c>
      <c r="L709" t="s">
        <v>121</v>
      </c>
      <c r="M709" t="str">
        <f t="shared" ref="M709:M723" si="134">D674&amp;" - "&amp;D709</f>
        <v>bottle_PET_SS_COL_energy_mechanical - bottle_PET_COL_SOR_energy_mechanical</v>
      </c>
      <c r="N709" s="19"/>
    </row>
    <row r="710" spans="1:14" ht="15" customHeight="1" x14ac:dyDescent="0.2">
      <c r="A710" s="19"/>
      <c r="B710" s="220"/>
      <c r="C710" s="6" t="str">
        <f t="shared" si="132"/>
        <v>PE</v>
      </c>
      <c r="D710" t="s">
        <v>856</v>
      </c>
      <c r="E710" s="33">
        <f>$C$632*E159</f>
        <v>1277.3908980000001</v>
      </c>
      <c r="F710" t="str">
        <f>F709</f>
        <v>MJ</v>
      </c>
      <c r="G710" s="32" t="str">
        <f>$B$632&amp;" * "&amp;D159</f>
        <v>bottle_energy * bottle_PE_COL_SOR_mass_mechanical</v>
      </c>
      <c r="H710" s="220"/>
      <c r="I710" s="6" t="str">
        <f t="shared" ref="I710:I723" si="135">C710</f>
        <v>PE</v>
      </c>
      <c r="J710" t="s">
        <v>871</v>
      </c>
      <c r="K710" s="33">
        <f t="shared" si="133"/>
        <v>782.91700199999968</v>
      </c>
      <c r="L710" t="str">
        <f>L709</f>
        <v>MJ</v>
      </c>
      <c r="M710" t="str">
        <f t="shared" si="134"/>
        <v>bottle_PE_SS_COL_energy_mechanical - bottle_PE_COL_SOR_energy_mechanical</v>
      </c>
      <c r="N710" s="19"/>
    </row>
    <row r="711" spans="1:14" ht="15" customHeight="1" x14ac:dyDescent="0.2">
      <c r="A711" s="19"/>
      <c r="B711" s="220"/>
      <c r="C711" s="6" t="str">
        <f t="shared" si="132"/>
        <v>PP</v>
      </c>
      <c r="D711" t="s">
        <v>857</v>
      </c>
      <c r="E711" s="33">
        <f>$C$632*E160</f>
        <v>0</v>
      </c>
      <c r="F711" t="str">
        <f t="shared" ref="F711:F723" si="136">F710</f>
        <v>MJ</v>
      </c>
      <c r="G711" s="32" t="str">
        <f>$B$632&amp;" * "&amp;D160</f>
        <v>bottle_energy * bottle_PP_COL_SOR_mass_mechanical</v>
      </c>
      <c r="H711" s="220"/>
      <c r="I711" s="6" t="str">
        <f t="shared" si="135"/>
        <v>PP</v>
      </c>
      <c r="J711" t="s">
        <v>872</v>
      </c>
      <c r="K711" s="33">
        <f t="shared" si="133"/>
        <v>0</v>
      </c>
      <c r="L711" t="str">
        <f t="shared" ref="L711:L723" si="137">L710</f>
        <v>MJ</v>
      </c>
      <c r="M711" t="str">
        <f t="shared" si="134"/>
        <v>bottle_PP_SS_COL_energy_mechanical - bottle_PP_COL_SOR_energy_mechanical</v>
      </c>
      <c r="N711" s="19" t="s">
        <v>1005</v>
      </c>
    </row>
    <row r="712" spans="1:14" ht="15" customHeight="1" x14ac:dyDescent="0.2">
      <c r="A712" s="19"/>
      <c r="B712" s="220"/>
      <c r="C712" s="6" t="str">
        <f t="shared" si="132"/>
        <v>PS</v>
      </c>
      <c r="D712" t="s">
        <v>858</v>
      </c>
      <c r="E712" s="33">
        <f>$C$632*E161</f>
        <v>0</v>
      </c>
      <c r="F712" t="str">
        <f t="shared" si="136"/>
        <v>MJ</v>
      </c>
      <c r="G712" s="32" t="str">
        <f>$B$632&amp;" * "&amp;D161</f>
        <v>bottle_energy * bottle_PS_COL_SOR_mass_mechanical</v>
      </c>
      <c r="H712" s="220"/>
      <c r="I712" s="6" t="str">
        <f t="shared" si="135"/>
        <v>PS</v>
      </c>
      <c r="J712" t="s">
        <v>873</v>
      </c>
      <c r="K712" s="33">
        <f t="shared" si="133"/>
        <v>0</v>
      </c>
      <c r="L712" t="str">
        <f t="shared" si="137"/>
        <v>MJ</v>
      </c>
      <c r="M712" t="str">
        <f t="shared" si="134"/>
        <v>bottle_PS_SS_COL_energy_mechanical - bottle_PS_COL_SOR_energy_mechanical</v>
      </c>
      <c r="N712" s="19" t="s">
        <v>1005</v>
      </c>
    </row>
    <row r="713" spans="1:14" ht="15" customHeight="1" x14ac:dyDescent="0.2">
      <c r="A713" s="19"/>
      <c r="B713" s="220"/>
      <c r="C713" s="6" t="str">
        <f t="shared" si="132"/>
        <v>Other</v>
      </c>
      <c r="D713" t="s">
        <v>859</v>
      </c>
      <c r="E713" s="33">
        <f>$C$632*E162</f>
        <v>0</v>
      </c>
      <c r="F713" t="str">
        <f t="shared" si="136"/>
        <v>MJ</v>
      </c>
      <c r="G713" s="32" t="str">
        <f>$B$632&amp;" * "&amp;D162</f>
        <v>bottle_energy * bottle_Oth_COL_SOR_mass_mechanical</v>
      </c>
      <c r="H713" s="220"/>
      <c r="I713" s="6" t="str">
        <f t="shared" si="135"/>
        <v>Other</v>
      </c>
      <c r="J713" t="s">
        <v>874</v>
      </c>
      <c r="K713" s="33">
        <f t="shared" si="133"/>
        <v>0</v>
      </c>
      <c r="L713" t="str">
        <f t="shared" si="137"/>
        <v>MJ</v>
      </c>
      <c r="M713" t="str">
        <f t="shared" si="134"/>
        <v>bottle_Oth_SS_COL_energy_mechanical - bottle_Oth_COL_SOR_energy_mechanical</v>
      </c>
      <c r="N713" s="19" t="s">
        <v>1005</v>
      </c>
    </row>
    <row r="714" spans="1:14" ht="15" customHeight="1" x14ac:dyDescent="0.2">
      <c r="A714" s="19"/>
      <c r="B714" s="220" t="s">
        <v>15</v>
      </c>
      <c r="C714" s="6" t="str">
        <f t="shared" si="132"/>
        <v>PET</v>
      </c>
      <c r="D714" t="s">
        <v>860</v>
      </c>
      <c r="E714" s="33">
        <f>$C$633*E163</f>
        <v>925.60121279999987</v>
      </c>
      <c r="F714" t="str">
        <f t="shared" si="136"/>
        <v>MJ</v>
      </c>
      <c r="G714" s="32" t="str">
        <f>$B$633&amp;" * "&amp;D163</f>
        <v>rigid_energy * rigid_PET_COL_SOR_mass_mechanical</v>
      </c>
      <c r="H714" s="220" t="s">
        <v>15</v>
      </c>
      <c r="I714" s="6" t="str">
        <f t="shared" si="135"/>
        <v>PET</v>
      </c>
      <c r="J714" t="s">
        <v>875</v>
      </c>
      <c r="K714" s="33">
        <f t="shared" si="133"/>
        <v>378.06246720000001</v>
      </c>
      <c r="L714" t="str">
        <f t="shared" si="137"/>
        <v>MJ</v>
      </c>
      <c r="M714" t="str">
        <f t="shared" si="134"/>
        <v>rigid_PET_SS_COL_energy_mechanical - rigid_PET_COL_SOR_energy_mechanical</v>
      </c>
      <c r="N714" s="19" t="s">
        <v>1005</v>
      </c>
    </row>
    <row r="715" spans="1:14" ht="15" customHeight="1" x14ac:dyDescent="0.2">
      <c r="A715" s="19"/>
      <c r="B715" s="220"/>
      <c r="C715" s="6" t="str">
        <f t="shared" si="132"/>
        <v>PE</v>
      </c>
      <c r="D715" t="s">
        <v>861</v>
      </c>
      <c r="E715" s="33">
        <f>$C$633*E164</f>
        <v>606.20361119999995</v>
      </c>
      <c r="F715" t="str">
        <f t="shared" si="136"/>
        <v>MJ</v>
      </c>
      <c r="G715" s="32" t="str">
        <f>$B$633&amp;" * "&amp;D164</f>
        <v>rigid_energy * rigid_PE_COL_SOR_mass_mechanical</v>
      </c>
      <c r="H715" s="220"/>
      <c r="I715" s="6" t="str">
        <f t="shared" si="135"/>
        <v>PE</v>
      </c>
      <c r="J715" t="s">
        <v>876</v>
      </c>
      <c r="K715" s="33">
        <f t="shared" si="133"/>
        <v>371.54414880000002</v>
      </c>
      <c r="L715" t="str">
        <f t="shared" si="137"/>
        <v>MJ</v>
      </c>
      <c r="M715" t="str">
        <f t="shared" si="134"/>
        <v>rigid_PE_SS_COL_energy_mechanical - rigid_PE_COL_SOR_energy_mechanical</v>
      </c>
      <c r="N715" s="19" t="s">
        <v>1005</v>
      </c>
    </row>
    <row r="716" spans="1:14" ht="15" customHeight="1" x14ac:dyDescent="0.2">
      <c r="A716" s="19"/>
      <c r="B716" s="220"/>
      <c r="C716" s="6" t="str">
        <f t="shared" si="132"/>
        <v>PP</v>
      </c>
      <c r="D716" t="s">
        <v>862</v>
      </c>
      <c r="E716" s="33">
        <f>$C$633*E165</f>
        <v>1916.3856095999997</v>
      </c>
      <c r="F716" t="str">
        <f t="shared" si="136"/>
        <v>MJ</v>
      </c>
      <c r="G716" s="32" t="str">
        <f>$B$633&amp;" * "&amp;D165</f>
        <v>rigid_energy * rigid_PP_COL_SOR_mass_mechanical</v>
      </c>
      <c r="H716" s="220"/>
      <c r="I716" s="6" t="str">
        <f t="shared" si="135"/>
        <v>PP</v>
      </c>
      <c r="J716" t="s">
        <v>877</v>
      </c>
      <c r="K716" s="33">
        <f t="shared" si="133"/>
        <v>365.02583040000013</v>
      </c>
      <c r="L716" t="str">
        <f t="shared" si="137"/>
        <v>MJ</v>
      </c>
      <c r="M716" t="str">
        <f t="shared" si="134"/>
        <v>rigid_PP_SS_COL_energy_mechanical - rigid_PP_COL_SOR_energy_mechanical</v>
      </c>
      <c r="N716" s="19" t="s">
        <v>1005</v>
      </c>
    </row>
    <row r="717" spans="1:14" ht="15" customHeight="1" x14ac:dyDescent="0.2">
      <c r="A717" s="19"/>
      <c r="B717" s="220"/>
      <c r="C717" s="6" t="str">
        <f t="shared" si="132"/>
        <v>PS</v>
      </c>
      <c r="D717" t="s">
        <v>863</v>
      </c>
      <c r="E717" s="33">
        <f>$C$633*E166</f>
        <v>235.74584879999998</v>
      </c>
      <c r="F717" t="str">
        <f t="shared" si="136"/>
        <v>MJ</v>
      </c>
      <c r="G717" s="32" t="str">
        <f>$B$633&amp;" * "&amp;D166</f>
        <v>rigid_energy * rigid_PS_COL_SOR_mass_mechanical</v>
      </c>
      <c r="H717" s="220"/>
      <c r="I717" s="6" t="str">
        <f t="shared" si="135"/>
        <v>PS</v>
      </c>
      <c r="J717" t="s">
        <v>878</v>
      </c>
      <c r="K717" s="33">
        <f t="shared" si="133"/>
        <v>90.170071199999995</v>
      </c>
      <c r="L717" t="str">
        <f t="shared" si="137"/>
        <v>MJ</v>
      </c>
      <c r="M717" t="str">
        <f t="shared" si="134"/>
        <v>rigid_PS_SS_COL_energy_mechanical - rigid_PS_COL_SOR_energy_mechanical</v>
      </c>
      <c r="N717" s="19" t="s">
        <v>1005</v>
      </c>
    </row>
    <row r="718" spans="1:14" ht="15" customHeight="1" x14ac:dyDescent="0.2">
      <c r="A718" s="19"/>
      <c r="B718" s="220"/>
      <c r="C718" s="6" t="str">
        <f t="shared" si="132"/>
        <v>Other</v>
      </c>
      <c r="D718" t="s">
        <v>864</v>
      </c>
      <c r="E718" s="33">
        <f>$C$633*E167</f>
        <v>1178.7292439999997</v>
      </c>
      <c r="F718" t="str">
        <f t="shared" si="136"/>
        <v>MJ</v>
      </c>
      <c r="G718" s="32" t="str">
        <f>$B$633&amp;" * "&amp;D167</f>
        <v>rigid_energy * rigid_Oth_COL_SOR_mass_mechanical</v>
      </c>
      <c r="H718" s="220"/>
      <c r="I718" s="6" t="str">
        <f t="shared" si="135"/>
        <v>Other</v>
      </c>
      <c r="J718" t="s">
        <v>879</v>
      </c>
      <c r="K718" s="33">
        <f t="shared" si="133"/>
        <v>450.85035599999969</v>
      </c>
      <c r="L718" t="str">
        <f t="shared" si="137"/>
        <v>MJ</v>
      </c>
      <c r="M718" t="str">
        <f t="shared" si="134"/>
        <v>rigid_Oth_SS_COL_energy_mechanical - rigid_Oth_COL_SOR_energy_mechanical</v>
      </c>
      <c r="N718" s="19" t="s">
        <v>1005</v>
      </c>
    </row>
    <row r="719" spans="1:14" ht="15" customHeight="1" x14ac:dyDescent="0.2">
      <c r="A719" s="19"/>
      <c r="B719" s="220" t="s">
        <v>42</v>
      </c>
      <c r="C719" s="6" t="str">
        <f t="shared" si="132"/>
        <v>PET</v>
      </c>
      <c r="D719" t="s">
        <v>865</v>
      </c>
      <c r="E719" s="33">
        <f>$C$634*E168</f>
        <v>0</v>
      </c>
      <c r="F719" t="str">
        <f t="shared" si="136"/>
        <v>MJ</v>
      </c>
      <c r="G719" s="32" t="str">
        <f>$B$634&amp;" * "&amp;D168</f>
        <v>soft_energy * soft_PET_COL_SOR_mass_mechanical</v>
      </c>
      <c r="H719" s="220" t="s">
        <v>42</v>
      </c>
      <c r="I719" s="6" t="str">
        <f t="shared" si="135"/>
        <v>PET</v>
      </c>
      <c r="J719" t="s">
        <v>880</v>
      </c>
      <c r="K719" s="33">
        <f t="shared" si="133"/>
        <v>0</v>
      </c>
      <c r="L719" t="str">
        <f t="shared" si="137"/>
        <v>MJ</v>
      </c>
      <c r="M719" t="str">
        <f t="shared" si="134"/>
        <v>soft_PET_SS_COL_energy_mechanical - soft_PET_COL_SOR_energy_mechanical</v>
      </c>
      <c r="N719" s="19" t="s">
        <v>1005</v>
      </c>
    </row>
    <row r="720" spans="1:14" ht="15" customHeight="1" x14ac:dyDescent="0.2">
      <c r="A720" s="19"/>
      <c r="B720" s="220"/>
      <c r="C720" s="6" t="str">
        <f t="shared" si="132"/>
        <v>PE</v>
      </c>
      <c r="D720" t="s">
        <v>866</v>
      </c>
      <c r="E720" s="33">
        <f>$C$634*E169</f>
        <v>5759.8211916</v>
      </c>
      <c r="F720" t="str">
        <f t="shared" si="136"/>
        <v>MJ</v>
      </c>
      <c r="G720" s="32" t="str">
        <f>$B$634&amp;" * "&amp;D169</f>
        <v>soft_energy * soft_PE_COL_SOR_mass_mechanical</v>
      </c>
      <c r="H720" s="220"/>
      <c r="I720" s="6" t="str">
        <f t="shared" si="135"/>
        <v>PE</v>
      </c>
      <c r="J720" t="s">
        <v>881</v>
      </c>
      <c r="K720" s="33">
        <f t="shared" si="133"/>
        <v>3530.2129883999987</v>
      </c>
      <c r="L720" t="str">
        <f t="shared" si="137"/>
        <v>MJ</v>
      </c>
      <c r="M720" t="str">
        <f t="shared" si="134"/>
        <v>soft_PE_SS_COL_energy_mechanical - soft_PE_COL_SOR_energy_mechanical</v>
      </c>
      <c r="N720" s="19" t="s">
        <v>1006</v>
      </c>
    </row>
    <row r="721" spans="1:14" ht="15" customHeight="1" x14ac:dyDescent="0.2">
      <c r="A721" s="19"/>
      <c r="B721" s="220"/>
      <c r="C721" s="6" t="str">
        <f t="shared" si="132"/>
        <v>PP</v>
      </c>
      <c r="D721" t="s">
        <v>867</v>
      </c>
      <c r="E721" s="33">
        <f>$C$634*E170</f>
        <v>0</v>
      </c>
      <c r="F721" t="str">
        <f t="shared" si="136"/>
        <v>MJ</v>
      </c>
      <c r="G721" s="32" t="str">
        <f>$B$634&amp;" * "&amp;D170</f>
        <v>soft_energy * soft_PP_COL_SOR_mass_mechanical</v>
      </c>
      <c r="H721" s="220"/>
      <c r="I721" s="6" t="str">
        <f t="shared" si="135"/>
        <v>PP</v>
      </c>
      <c r="J721" t="s">
        <v>882</v>
      </c>
      <c r="K721" s="33">
        <f t="shared" si="133"/>
        <v>0</v>
      </c>
      <c r="L721" t="str">
        <f t="shared" si="137"/>
        <v>MJ</v>
      </c>
      <c r="M721" t="str">
        <f t="shared" si="134"/>
        <v>soft_PP_SS_COL_energy_mechanical - soft_PP_COL_SOR_energy_mechanical</v>
      </c>
      <c r="N721" s="19" t="s">
        <v>1005</v>
      </c>
    </row>
    <row r="722" spans="1:14" ht="15" customHeight="1" x14ac:dyDescent="0.2">
      <c r="A722" s="19"/>
      <c r="B722" s="220"/>
      <c r="C722" s="6" t="str">
        <f t="shared" si="132"/>
        <v>PS</v>
      </c>
      <c r="D722" t="s">
        <v>868</v>
      </c>
      <c r="E722" s="33">
        <f>$C$634*E171</f>
        <v>0</v>
      </c>
      <c r="F722" t="str">
        <f t="shared" si="136"/>
        <v>MJ</v>
      </c>
      <c r="G722" s="32" t="str">
        <f>$B$634&amp;" * "&amp;D171</f>
        <v>soft_energy * soft_PS_COL_SOR_mass_mechanical</v>
      </c>
      <c r="H722" s="220"/>
      <c r="I722" s="6" t="str">
        <f t="shared" si="135"/>
        <v>PS</v>
      </c>
      <c r="J722" t="s">
        <v>883</v>
      </c>
      <c r="K722" s="33">
        <f t="shared" si="133"/>
        <v>0</v>
      </c>
      <c r="L722" t="str">
        <f t="shared" si="137"/>
        <v>MJ</v>
      </c>
      <c r="M722" t="str">
        <f t="shared" si="134"/>
        <v>soft_PS_SS_COL_energy_mechanical - soft_PS_COL_SOR_energy_mechanical</v>
      </c>
      <c r="N722" s="19" t="s">
        <v>1005</v>
      </c>
    </row>
    <row r="723" spans="1:14" ht="15" customHeight="1" x14ac:dyDescent="0.2">
      <c r="A723" s="19"/>
      <c r="B723" s="227"/>
      <c r="C723" s="60" t="str">
        <f t="shared" si="132"/>
        <v>Other</v>
      </c>
      <c r="D723" s="44" t="s">
        <v>869</v>
      </c>
      <c r="E723" s="62">
        <f>$C$634*E172</f>
        <v>2239.9304634</v>
      </c>
      <c r="F723" s="44" t="str">
        <f t="shared" si="136"/>
        <v>MJ</v>
      </c>
      <c r="G723" s="61" t="str">
        <f>$B$634&amp;" * "&amp;D172</f>
        <v>soft_energy * soft_Oth_COL_SOR_mass_mechanical</v>
      </c>
      <c r="H723" s="220"/>
      <c r="I723" s="6" t="str">
        <f t="shared" si="135"/>
        <v>Other</v>
      </c>
      <c r="J723" t="s">
        <v>884</v>
      </c>
      <c r="K723" s="33">
        <f t="shared" si="133"/>
        <v>856.74759660000063</v>
      </c>
      <c r="L723" t="str">
        <f t="shared" si="137"/>
        <v>MJ</v>
      </c>
      <c r="M723" t="str">
        <f t="shared" si="134"/>
        <v>soft_Oth_SS_COL_energy_mechanical - soft_Oth_COL_SOR_energy_mechanical</v>
      </c>
      <c r="N723" s="19" t="s">
        <v>1005</v>
      </c>
    </row>
    <row r="724" spans="1:14" ht="25" customHeight="1" x14ac:dyDescent="0.2">
      <c r="A724" s="19"/>
      <c r="B724" s="214" t="s">
        <v>60</v>
      </c>
      <c r="C724" s="214"/>
      <c r="D724" s="214"/>
      <c r="E724" s="214"/>
      <c r="F724" s="214"/>
      <c r="G724" s="214"/>
      <c r="H724" s="214"/>
      <c r="I724" s="214"/>
      <c r="J724" s="214"/>
      <c r="K724" s="214"/>
      <c r="L724" s="214"/>
      <c r="M724" s="214"/>
      <c r="N724" s="19" t="s">
        <v>1005</v>
      </c>
    </row>
    <row r="725" spans="1:14" ht="15" customHeight="1" x14ac:dyDescent="0.2">
      <c r="A725" s="19"/>
      <c r="B725" s="2" t="str">
        <f>B695</f>
        <v>Parameter</v>
      </c>
      <c r="C725" s="2" t="str">
        <f>C695</f>
        <v>Value</v>
      </c>
      <c r="D725" s="2" t="str">
        <f>D695</f>
        <v>Unit</v>
      </c>
      <c r="E725" s="2" t="str">
        <f>E695</f>
        <v>Description</v>
      </c>
      <c r="F725" s="2"/>
      <c r="G725" s="1"/>
      <c r="H725" s="2" t="str">
        <f>H695</f>
        <v>Parameter</v>
      </c>
      <c r="I725" s="2" t="str">
        <f>I695</f>
        <v>Value</v>
      </c>
      <c r="J725" s="2" t="str">
        <f>J695</f>
        <v>Unit</v>
      </c>
      <c r="K725" s="2" t="str">
        <f>K695</f>
        <v>Description</v>
      </c>
      <c r="L725" s="2"/>
      <c r="M725" s="2"/>
      <c r="N725" s="19" t="s">
        <v>1005</v>
      </c>
    </row>
    <row r="726" spans="1:14" ht="15" customHeight="1" x14ac:dyDescent="0.2">
      <c r="A726" s="19"/>
      <c r="B726" t="s">
        <v>951</v>
      </c>
      <c r="C726" s="33">
        <f>SUM(E709:E713)</f>
        <v>6083.7948990000004</v>
      </c>
      <c r="D726" t="s">
        <v>121</v>
      </c>
      <c r="E726" t="s">
        <v>1085</v>
      </c>
      <c r="G726" s="32"/>
      <c r="H726" t="s">
        <v>955</v>
      </c>
      <c r="I726" s="33">
        <f>SUM(K709:K713)</f>
        <v>2746.0961009999996</v>
      </c>
      <c r="J726" t="s">
        <v>121</v>
      </c>
      <c r="K726" t="s">
        <v>1128</v>
      </c>
      <c r="N726" s="19" t="s">
        <v>1005</v>
      </c>
    </row>
    <row r="727" spans="1:14" ht="15" customHeight="1" x14ac:dyDescent="0.2">
      <c r="A727" s="19"/>
      <c r="B727" t="s">
        <v>952</v>
      </c>
      <c r="C727" s="33">
        <f>SUM(E714:E718)</f>
        <v>4862.6655264000001</v>
      </c>
      <c r="D727" t="str">
        <f>D726</f>
        <v>MJ</v>
      </c>
      <c r="E727" t="s">
        <v>1086</v>
      </c>
      <c r="G727" s="32"/>
      <c r="H727" t="s">
        <v>956</v>
      </c>
      <c r="I727" s="33">
        <f>SUM(K714:K718)</f>
        <v>1655.6528735999998</v>
      </c>
      <c r="J727" t="str">
        <f>J726</f>
        <v>MJ</v>
      </c>
      <c r="K727" t="s">
        <v>1129</v>
      </c>
      <c r="N727" s="19"/>
    </row>
    <row r="728" spans="1:14" ht="15" customHeight="1" thickBot="1" x14ac:dyDescent="0.25">
      <c r="A728" s="19"/>
      <c r="B728" s="8" t="s">
        <v>953</v>
      </c>
      <c r="C728" s="34">
        <f>SUM(E719:E723)</f>
        <v>7999.751655</v>
      </c>
      <c r="D728" s="8" t="str">
        <f>D726</f>
        <v>MJ</v>
      </c>
      <c r="E728" s="8" t="s">
        <v>1087</v>
      </c>
      <c r="F728" s="8"/>
      <c r="G728" s="87"/>
      <c r="H728" s="8" t="s">
        <v>957</v>
      </c>
      <c r="I728" s="34">
        <f>SUM(K719:K723)</f>
        <v>4386.9605849999989</v>
      </c>
      <c r="J728" s="8" t="str">
        <f>J727</f>
        <v>MJ</v>
      </c>
      <c r="K728" s="8" t="s">
        <v>1130</v>
      </c>
      <c r="L728" s="8"/>
      <c r="M728" s="8"/>
      <c r="N728" s="19"/>
    </row>
    <row r="729" spans="1:14" ht="15" customHeight="1" thickTop="1" x14ac:dyDescent="0.2">
      <c r="A729" s="19"/>
      <c r="B729" s="44" t="s">
        <v>954</v>
      </c>
      <c r="C729" s="62">
        <f>SUM(C726:C728)</f>
        <v>18946.212080400001</v>
      </c>
      <c r="D729" s="44" t="str">
        <f>D726</f>
        <v>MJ</v>
      </c>
      <c r="E729" s="44" t="s">
        <v>1088</v>
      </c>
      <c r="F729" s="44"/>
      <c r="G729" s="61"/>
      <c r="H729" s="44" t="s">
        <v>958</v>
      </c>
      <c r="I729" s="62">
        <f>SUM(I726:I728)</f>
        <v>8788.7095595999981</v>
      </c>
      <c r="J729" s="44" t="str">
        <f>J728</f>
        <v>MJ</v>
      </c>
      <c r="K729" s="44" t="s">
        <v>1089</v>
      </c>
      <c r="L729" s="44"/>
      <c r="M729" s="44"/>
      <c r="N729" s="19"/>
    </row>
    <row r="730" spans="1:14" ht="15" customHeight="1" x14ac:dyDescent="0.2">
      <c r="A730" s="19"/>
      <c r="B730" s="125" t="s">
        <v>2704</v>
      </c>
      <c r="C730" s="125" t="str">
        <f>IF(C729+I729=C700,"true")</f>
        <v>true</v>
      </c>
      <c r="D730" s="125"/>
      <c r="E730" s="125"/>
      <c r="F730" s="125"/>
      <c r="G730" s="125"/>
      <c r="H730" s="125"/>
      <c r="I730" s="125"/>
      <c r="J730" s="125"/>
      <c r="K730" s="125"/>
      <c r="L730" s="125"/>
      <c r="M730" s="125"/>
      <c r="N730" s="19"/>
    </row>
    <row r="731" spans="1:14" ht="15" customHeight="1" x14ac:dyDescent="0.2">
      <c r="A731" s="19"/>
      <c r="B731" s="19"/>
      <c r="C731" s="19"/>
      <c r="D731" s="19"/>
      <c r="E731" s="19"/>
      <c r="F731" s="19"/>
      <c r="G731" s="19"/>
      <c r="H731" s="19"/>
      <c r="I731" s="19"/>
      <c r="J731" s="19"/>
      <c r="K731" s="19"/>
      <c r="L731" s="19"/>
      <c r="M731" s="19"/>
      <c r="N731" s="19"/>
    </row>
    <row r="732" spans="1:14" ht="15" customHeight="1" x14ac:dyDescent="0.2">
      <c r="A732" s="19"/>
      <c r="B732" s="19"/>
      <c r="C732" s="19"/>
      <c r="D732" s="19"/>
      <c r="E732" s="19"/>
      <c r="F732" s="19"/>
      <c r="G732" s="19"/>
      <c r="H732" s="19"/>
      <c r="I732" s="19"/>
      <c r="J732" s="19"/>
      <c r="K732" s="19"/>
      <c r="L732" s="19"/>
      <c r="M732" s="19"/>
      <c r="N732" s="19"/>
    </row>
    <row r="733" spans="1:14" ht="15" customHeight="1" x14ac:dyDescent="0.2">
      <c r="A733" s="19"/>
      <c r="B733" s="19"/>
      <c r="C733" s="19"/>
      <c r="D733" s="19"/>
      <c r="E733" s="19"/>
      <c r="F733" s="19"/>
      <c r="G733" s="19"/>
      <c r="H733" s="19"/>
      <c r="I733" s="19"/>
      <c r="J733" s="19"/>
      <c r="K733" s="19"/>
      <c r="L733" s="19"/>
      <c r="M733" s="19"/>
      <c r="N733" s="19"/>
    </row>
    <row r="734" spans="1:14" ht="25" customHeight="1" x14ac:dyDescent="0.2">
      <c r="A734" s="19"/>
      <c r="B734" s="232" t="s">
        <v>70</v>
      </c>
      <c r="C734" s="232"/>
      <c r="D734" s="232"/>
      <c r="E734" s="232"/>
      <c r="F734" s="232"/>
      <c r="G734" s="232"/>
      <c r="H734" s="232"/>
      <c r="I734" s="232"/>
      <c r="J734" s="232"/>
      <c r="K734" s="232"/>
      <c r="L734" s="232"/>
      <c r="M734" s="232"/>
      <c r="N734" s="19"/>
    </row>
    <row r="735" spans="1:14" ht="14.5" customHeight="1" x14ac:dyDescent="0.2">
      <c r="A735" s="19"/>
      <c r="B735" s="163" t="s">
        <v>2</v>
      </c>
      <c r="C735" s="163" t="s">
        <v>3</v>
      </c>
      <c r="D735" s="163" t="s">
        <v>4</v>
      </c>
      <c r="E735" s="163" t="s">
        <v>5</v>
      </c>
      <c r="F735" s="163" t="s">
        <v>6</v>
      </c>
      <c r="G735" s="163" t="s">
        <v>7</v>
      </c>
      <c r="H735" s="163" t="s">
        <v>112</v>
      </c>
      <c r="I735" s="164"/>
      <c r="J735" s="164"/>
      <c r="K735" s="164"/>
      <c r="L735" s="164"/>
      <c r="M735" s="164"/>
      <c r="N735" s="19"/>
    </row>
    <row r="736" spans="1:14" ht="14.5" customHeight="1" x14ac:dyDescent="0.2">
      <c r="A736" s="19"/>
      <c r="B736" s="106" t="str">
        <f>'info, structure, parameters'!A245</f>
        <v>SOR_energy_PET_mechanical</v>
      </c>
      <c r="C736" s="106">
        <f>'info, structure, parameters'!B245</f>
        <v>0.42000000000000004</v>
      </c>
      <c r="D736" s="106" t="str">
        <f>'info, structure, parameters'!C245</f>
        <v>MJ/kg PET</v>
      </c>
      <c r="E736" s="106">
        <f>'info, structure, parameters'!D245</f>
        <v>9.6000000000000002E-2</v>
      </c>
      <c r="F736" s="106">
        <f>'info, structure, parameters'!E245</f>
        <v>0.42000000000000004</v>
      </c>
      <c r="G736" s="106" t="str">
        <f>'info, structure, parameters'!F245</f>
        <v>Amount of energy inputted during the sorting of 1 kg of PET during mechanical recycling</v>
      </c>
      <c r="H736" s="106">
        <f>'info, structure, parameters'!G245</f>
        <v>10</v>
      </c>
      <c r="I736" s="165"/>
      <c r="J736" s="165"/>
      <c r="K736" s="165"/>
      <c r="L736" s="165"/>
      <c r="M736" s="165"/>
      <c r="N736" s="19"/>
    </row>
    <row r="737" spans="1:14" ht="14.5" customHeight="1" x14ac:dyDescent="0.2">
      <c r="A737" s="19"/>
      <c r="B737" s="106" t="str">
        <f>'info, structure, parameters'!A246</f>
        <v>SOR_energy_PE_mechanical</v>
      </c>
      <c r="C737" s="106">
        <f>'info, structure, parameters'!B246</f>
        <v>0.18239999999999998</v>
      </c>
      <c r="D737" s="106" t="str">
        <f>'info, structure, parameters'!C246</f>
        <v>MJ/kg PE</v>
      </c>
      <c r="E737" s="106">
        <f>'info, structure, parameters'!D246</f>
        <v>9.6000000000000002E-2</v>
      </c>
      <c r="F737" s="106">
        <f>'info, structure, parameters'!E246</f>
        <v>0.18239999999999998</v>
      </c>
      <c r="G737" s="106" t="str">
        <f>'info, structure, parameters'!F246</f>
        <v>Amount of energy inputted during the sorting of 1 kg of PE during mechanical recycling</v>
      </c>
      <c r="H737" s="106">
        <f>'info, structure, parameters'!G246</f>
        <v>10</v>
      </c>
      <c r="I737" s="165"/>
      <c r="J737" s="165"/>
      <c r="K737" s="165"/>
      <c r="L737" s="165"/>
      <c r="M737" s="165"/>
      <c r="N737" s="19"/>
    </row>
    <row r="738" spans="1:14" ht="14.5" customHeight="1" x14ac:dyDescent="0.2">
      <c r="A738" s="19"/>
      <c r="B738" s="106" t="str">
        <f>'info, structure, parameters'!A247</f>
        <v>SOR_energy_PP_mechanical</v>
      </c>
      <c r="C738" s="106">
        <f>'info, structure, parameters'!B247</f>
        <v>0.18239999999999998</v>
      </c>
      <c r="D738" s="106" t="str">
        <f>'info, structure, parameters'!C247</f>
        <v>MJ/kg PP</v>
      </c>
      <c r="E738" s="106">
        <f>'info, structure, parameters'!D247</f>
        <v>9.6000000000000002E-2</v>
      </c>
      <c r="F738" s="106">
        <f>'info, structure, parameters'!E247</f>
        <v>0.18239999999999998</v>
      </c>
      <c r="G738" s="106" t="str">
        <f>'info, structure, parameters'!F247</f>
        <v>Amount of energy inputted during the sorting of 1 kg of PP during mechanical recycling</v>
      </c>
      <c r="H738" s="106">
        <f>'info, structure, parameters'!G247</f>
        <v>10</v>
      </c>
      <c r="I738" s="165"/>
      <c r="J738" s="165"/>
      <c r="K738" s="165"/>
      <c r="L738" s="165"/>
      <c r="M738" s="165"/>
      <c r="N738" s="19"/>
    </row>
    <row r="739" spans="1:14" ht="14.5" customHeight="1" x14ac:dyDescent="0.2">
      <c r="A739" s="19"/>
      <c r="B739" s="106" t="str">
        <f>'info, structure, parameters'!A248</f>
        <v>SOR_energy_PS_mechanical</v>
      </c>
      <c r="C739" s="106">
        <f>'info, structure, parameters'!B248</f>
        <v>0.18239999999999998</v>
      </c>
      <c r="D739" s="106" t="str">
        <f>'info, structure, parameters'!C248</f>
        <v>MJ/kg PS</v>
      </c>
      <c r="E739" s="106">
        <f>'info, structure, parameters'!D248</f>
        <v>9.6000000000000002E-2</v>
      </c>
      <c r="F739" s="106">
        <f>'info, structure, parameters'!E248</f>
        <v>0.18239999999999998</v>
      </c>
      <c r="G739" s="106" t="str">
        <f>'info, structure, parameters'!F248</f>
        <v>Amount of energy inputted during the sorting of 1 kg of PS during mechanical recycling</v>
      </c>
      <c r="H739" s="106">
        <f>'info, structure, parameters'!G248</f>
        <v>10</v>
      </c>
      <c r="I739" s="165"/>
      <c r="J739" s="165"/>
      <c r="K739" s="165"/>
      <c r="L739" s="165"/>
      <c r="M739" s="165"/>
      <c r="N739" s="19"/>
    </row>
    <row r="740" spans="1:14" ht="25" customHeight="1" x14ac:dyDescent="0.2">
      <c r="A740" s="19"/>
      <c r="B740" s="226" t="s">
        <v>80</v>
      </c>
      <c r="C740" s="226"/>
      <c r="D740" s="226"/>
      <c r="E740" s="226"/>
      <c r="F740" s="226"/>
      <c r="G740" s="226"/>
      <c r="H740" s="226"/>
      <c r="I740" s="226"/>
      <c r="J740" s="226"/>
      <c r="K740" s="226"/>
      <c r="L740" s="226"/>
      <c r="M740" s="226"/>
      <c r="N740" s="19"/>
    </row>
    <row r="741" spans="1:14" ht="25" customHeight="1" x14ac:dyDescent="0.2">
      <c r="A741" s="19"/>
      <c r="B741" s="214" t="s">
        <v>93</v>
      </c>
      <c r="C741" s="214"/>
      <c r="D741" s="214"/>
      <c r="E741" s="214"/>
      <c r="F741" s="214"/>
      <c r="G741" s="223"/>
      <c r="H741" s="214" t="s">
        <v>59</v>
      </c>
      <c r="I741" s="214"/>
      <c r="J741" s="214"/>
      <c r="K741" s="214"/>
      <c r="L741" s="214"/>
      <c r="M741" s="214"/>
      <c r="N741" s="19"/>
    </row>
    <row r="742" spans="1:14" ht="15" customHeight="1" x14ac:dyDescent="0.2">
      <c r="A742" s="19"/>
      <c r="B742" s="2" t="str">
        <f>B708</f>
        <v>Fraction</v>
      </c>
      <c r="C742" s="2" t="str">
        <f>C708</f>
        <v>Sub-fraction</v>
      </c>
      <c r="D742" s="2" t="s">
        <v>99</v>
      </c>
      <c r="E742" s="2" t="str">
        <f>E708</f>
        <v>Value</v>
      </c>
      <c r="F742" s="2" t="str">
        <f>F708</f>
        <v>Unit</v>
      </c>
      <c r="G742" s="4" t="str">
        <f>G708</f>
        <v>Equation</v>
      </c>
      <c r="H742" s="2" t="str">
        <f>H708</f>
        <v>Fraction</v>
      </c>
      <c r="I742" s="2" t="str">
        <f>I708</f>
        <v>Sub-fraction</v>
      </c>
      <c r="J742" s="2" t="str">
        <f>D742</f>
        <v>Name</v>
      </c>
      <c r="K742" s="2" t="str">
        <f>K708</f>
        <v>Value</v>
      </c>
      <c r="L742" s="2" t="str">
        <f>L708</f>
        <v>Unit</v>
      </c>
      <c r="M742" s="2" t="str">
        <f>M708</f>
        <v>Equation</v>
      </c>
      <c r="N742" s="19"/>
    </row>
    <row r="743" spans="1:14" ht="15" customHeight="1" x14ac:dyDescent="0.2">
      <c r="A743" s="19"/>
      <c r="B743" s="220" t="s">
        <v>14</v>
      </c>
      <c r="C743" s="6" t="str">
        <f t="shared" ref="C743:C757" si="138">C709</f>
        <v>PET</v>
      </c>
      <c r="D743" t="s">
        <v>885</v>
      </c>
      <c r="E743">
        <f>$C$632*E199</f>
        <v>5618.7539729999999</v>
      </c>
      <c r="F743" t="s">
        <v>121</v>
      </c>
      <c r="G743" s="32" t="str">
        <f>$B$632&amp;" * "&amp;D199</f>
        <v>bottle_energy * bottle_PET_SOR_RE_mass_mechanical</v>
      </c>
      <c r="H743" s="220" t="s">
        <v>14</v>
      </c>
      <c r="I743" s="6" t="str">
        <f>C743</f>
        <v>PET</v>
      </c>
      <c r="J743" t="s">
        <v>899</v>
      </c>
      <c r="K743" s="33">
        <f t="shared" ref="K743:K757" si="139">(E709+K709)-E743</f>
        <v>1150.829127</v>
      </c>
      <c r="L743" t="s">
        <v>121</v>
      </c>
      <c r="M743" t="str">
        <f t="shared" ref="M743:M757" si="140">"("&amp;D709&amp;" + "&amp;J709&amp;") - "&amp;D743</f>
        <v>(bottle_PET_COL_SOR_energy_mechanical + bottle_PET_COL_INC_energy_mechanical) - bottle_PET_SOR_RE_energy_mechanical</v>
      </c>
      <c r="N743" s="19" t="s">
        <v>1005</v>
      </c>
    </row>
    <row r="744" spans="1:14" ht="15" customHeight="1" x14ac:dyDescent="0.2">
      <c r="A744" s="19"/>
      <c r="B744" s="220"/>
      <c r="C744" s="6" t="str">
        <f t="shared" si="138"/>
        <v>PE</v>
      </c>
      <c r="D744" t="s">
        <v>886</v>
      </c>
      <c r="E744">
        <f>$C$632*E200</f>
        <v>1813.0709519999998</v>
      </c>
      <c r="F744" t="str">
        <f t="shared" ref="F744:F757" si="141">F743</f>
        <v>MJ</v>
      </c>
      <c r="G744" s="32" t="str">
        <f>$B$632&amp;" * "&amp;D200</f>
        <v>bottle_energy * bottle_PE_SOR_RE_mass_mechanical</v>
      </c>
      <c r="H744" s="220"/>
      <c r="I744" s="6" t="str">
        <f t="shared" ref="I744:I757" si="142">C744</f>
        <v>PE</v>
      </c>
      <c r="J744" t="s">
        <v>900</v>
      </c>
      <c r="K744" s="33">
        <f t="shared" si="139"/>
        <v>247.23694799999998</v>
      </c>
      <c r="L744" t="str">
        <f t="shared" ref="L744:L757" si="143">L743</f>
        <v>MJ</v>
      </c>
      <c r="M744" t="str">
        <f t="shared" si="140"/>
        <v>(bottle_PE_COL_SOR_energy_mechanical + bottle_PE_COL_INC_energy_mechanical) - bottle_PE_SOR_RE_energy_mechanical</v>
      </c>
      <c r="N744" s="19" t="s">
        <v>1005</v>
      </c>
    </row>
    <row r="745" spans="1:14" ht="15" customHeight="1" x14ac:dyDescent="0.2">
      <c r="A745" s="19"/>
      <c r="B745" s="220"/>
      <c r="C745" s="6" t="str">
        <f t="shared" si="138"/>
        <v>PP</v>
      </c>
      <c r="D745" t="s">
        <v>887</v>
      </c>
      <c r="E745">
        <f>$C$632*E201</f>
        <v>0</v>
      </c>
      <c r="F745" t="str">
        <f t="shared" si="141"/>
        <v>MJ</v>
      </c>
      <c r="G745" s="32" t="str">
        <f>$B$632&amp;" * "&amp;D201</f>
        <v>bottle_energy * bottle_PP_SOR_RE_mass_mechanical</v>
      </c>
      <c r="H745" s="220"/>
      <c r="I745" s="6" t="str">
        <f t="shared" si="142"/>
        <v>PP</v>
      </c>
      <c r="J745" t="s">
        <v>901</v>
      </c>
      <c r="K745" s="33">
        <f t="shared" si="139"/>
        <v>0</v>
      </c>
      <c r="L745" t="str">
        <f t="shared" si="143"/>
        <v>MJ</v>
      </c>
      <c r="M745" t="str">
        <f t="shared" si="140"/>
        <v>(bottle_PP_COL_SOR_energy_mechanical + bottle_PP_COL_INC_energy_mechanical) - bottle_PP_SOR_RE_energy_mechanical</v>
      </c>
      <c r="N745" s="19" t="s">
        <v>1005</v>
      </c>
    </row>
    <row r="746" spans="1:14" ht="15" customHeight="1" x14ac:dyDescent="0.2">
      <c r="A746" s="19"/>
      <c r="B746" s="220"/>
      <c r="C746" s="6" t="str">
        <f t="shared" si="138"/>
        <v>PS</v>
      </c>
      <c r="D746" t="s">
        <v>888</v>
      </c>
      <c r="E746">
        <f>$C$632*E202</f>
        <v>0</v>
      </c>
      <c r="F746" t="str">
        <f t="shared" si="141"/>
        <v>MJ</v>
      </c>
      <c r="G746" s="32" t="str">
        <f>$B$632&amp;" * "&amp;D202</f>
        <v>bottle_energy * bottle_PS_SOR_RE_mass_mechanical</v>
      </c>
      <c r="H746" s="220"/>
      <c r="I746" s="6" t="str">
        <f t="shared" si="142"/>
        <v>PS</v>
      </c>
      <c r="J746" t="s">
        <v>902</v>
      </c>
      <c r="K746" s="33">
        <f t="shared" si="139"/>
        <v>0</v>
      </c>
      <c r="L746" t="str">
        <f t="shared" si="143"/>
        <v>MJ</v>
      </c>
      <c r="M746" t="str">
        <f t="shared" si="140"/>
        <v>(bottle_PS_COL_SOR_energy_mechanical + bottle_PS_COL_INC_energy_mechanical) - bottle_PS_SOR_RE_energy_mechanical</v>
      </c>
      <c r="N746" s="19" t="s">
        <v>1005</v>
      </c>
    </row>
    <row r="747" spans="1:14" ht="15" customHeight="1" x14ac:dyDescent="0.2">
      <c r="A747" s="19"/>
      <c r="B747" s="220"/>
      <c r="C747" s="6" t="str">
        <f t="shared" si="138"/>
        <v>Other</v>
      </c>
      <c r="D747" t="s">
        <v>889</v>
      </c>
      <c r="E747">
        <f>$C$632*E203</f>
        <v>0</v>
      </c>
      <c r="F747" t="str">
        <f t="shared" si="141"/>
        <v>MJ</v>
      </c>
      <c r="G747" s="32" t="str">
        <f>$B$632&amp;" * "&amp;D203</f>
        <v>bottle_energy * bottle_Oth_SOR_RE_mass_mechanical</v>
      </c>
      <c r="H747" s="220"/>
      <c r="I747" s="6" t="str">
        <f t="shared" si="142"/>
        <v>Other</v>
      </c>
      <c r="J747" t="s">
        <v>903</v>
      </c>
      <c r="K747" s="33">
        <f t="shared" si="139"/>
        <v>0</v>
      </c>
      <c r="L747" t="str">
        <f t="shared" si="143"/>
        <v>MJ</v>
      </c>
      <c r="M747" t="str">
        <f t="shared" si="140"/>
        <v>(bottle_Oth_COL_SOR_energy_mechanical + bottle_Oth_COL_INC_energy_mechanical) - bottle_Oth_SOR_RE_energy_mechanical</v>
      </c>
      <c r="N747" s="19" t="s">
        <v>1005</v>
      </c>
    </row>
    <row r="748" spans="1:14" ht="15" customHeight="1" x14ac:dyDescent="0.2">
      <c r="A748" s="19"/>
      <c r="B748" s="220" t="s">
        <v>15</v>
      </c>
      <c r="C748" s="6" t="str">
        <f t="shared" si="138"/>
        <v>PET</v>
      </c>
      <c r="D748" t="s">
        <v>890</v>
      </c>
      <c r="E748">
        <f>$C$633*E204</f>
        <v>1082.0408543999999</v>
      </c>
      <c r="F748" t="str">
        <f t="shared" si="141"/>
        <v>MJ</v>
      </c>
      <c r="G748" s="32" t="str">
        <f>$B$633&amp;" * "&amp;D204</f>
        <v>rigid_energy * rigid_PET_SOR_RE_mass_mechanical</v>
      </c>
      <c r="H748" s="220" t="s">
        <v>15</v>
      </c>
      <c r="I748" s="6" t="str">
        <f t="shared" si="142"/>
        <v>PET</v>
      </c>
      <c r="J748" t="s">
        <v>904</v>
      </c>
      <c r="K748" s="33">
        <f t="shared" si="139"/>
        <v>221.62282559999994</v>
      </c>
      <c r="L748" t="str">
        <f t="shared" si="143"/>
        <v>MJ</v>
      </c>
      <c r="M748" t="str">
        <f t="shared" si="140"/>
        <v>(rigid_PET_COL_SOR_energy_mechanical + rigid_PET_COL_INC_energy_mechanical) - rigid_PET_SOR_RE_energy_mechanical</v>
      </c>
      <c r="N748" s="19" t="s">
        <v>1005</v>
      </c>
    </row>
    <row r="749" spans="1:14" ht="15" customHeight="1" x14ac:dyDescent="0.2">
      <c r="A749" s="19"/>
      <c r="B749" s="220"/>
      <c r="C749" s="6" t="str">
        <f t="shared" si="138"/>
        <v>PE</v>
      </c>
      <c r="D749" t="s">
        <v>891</v>
      </c>
      <c r="E749">
        <f>$C$633*E205</f>
        <v>860.4180288</v>
      </c>
      <c r="F749" t="str">
        <f t="shared" si="141"/>
        <v>MJ</v>
      </c>
      <c r="G749" s="32" t="str">
        <f>$B$633&amp;" * "&amp;D205</f>
        <v>rigid_energy * rigid_PE_SOR_RE_mass_mechanical</v>
      </c>
      <c r="H749" s="220"/>
      <c r="I749" s="6" t="str">
        <f t="shared" si="142"/>
        <v>PE</v>
      </c>
      <c r="J749" t="s">
        <v>905</v>
      </c>
      <c r="K749" s="33">
        <f t="shared" si="139"/>
        <v>117.32973119999997</v>
      </c>
      <c r="L749" t="str">
        <f t="shared" si="143"/>
        <v>MJ</v>
      </c>
      <c r="M749" t="str">
        <f t="shared" si="140"/>
        <v>(rigid_PE_COL_SOR_energy_mechanical + rigid_PE_COL_INC_energy_mechanical) - rigid_PE_SOR_RE_energy_mechanical</v>
      </c>
      <c r="N749" s="19" t="s">
        <v>1005</v>
      </c>
    </row>
    <row r="750" spans="1:14" ht="15" customHeight="1" x14ac:dyDescent="0.2">
      <c r="A750" s="19"/>
      <c r="B750" s="220"/>
      <c r="C750" s="6" t="str">
        <f t="shared" si="138"/>
        <v>PP</v>
      </c>
      <c r="D750" t="s">
        <v>892</v>
      </c>
      <c r="E750">
        <f>$C$633*E206</f>
        <v>1596.9880079999998</v>
      </c>
      <c r="F750" t="str">
        <f t="shared" si="141"/>
        <v>MJ</v>
      </c>
      <c r="G750" s="32" t="str">
        <f>$B$633&amp;" * "&amp;D206</f>
        <v>rigid_energy * rigid_PP_SOR_RE_mass_mechanical</v>
      </c>
      <c r="H750" s="220"/>
      <c r="I750" s="6" t="str">
        <f t="shared" si="142"/>
        <v>PP</v>
      </c>
      <c r="J750" t="s">
        <v>906</v>
      </c>
      <c r="K750" s="33">
        <f t="shared" si="139"/>
        <v>684.42343200000005</v>
      </c>
      <c r="L750" t="str">
        <f t="shared" si="143"/>
        <v>MJ</v>
      </c>
      <c r="M750" t="str">
        <f t="shared" si="140"/>
        <v>(rigid_PP_COL_SOR_energy_mechanical + rigid_PP_COL_INC_energy_mechanical) - rigid_PP_SOR_RE_energy_mechanical</v>
      </c>
      <c r="N750" s="19" t="s">
        <v>1005</v>
      </c>
    </row>
    <row r="751" spans="1:14" ht="15" customHeight="1" x14ac:dyDescent="0.2">
      <c r="A751" s="19"/>
      <c r="B751" s="220"/>
      <c r="C751" s="6" t="str">
        <f t="shared" si="138"/>
        <v>PS</v>
      </c>
      <c r="D751" t="s">
        <v>893</v>
      </c>
      <c r="E751">
        <f>$C$633*E207</f>
        <v>189.38249853600001</v>
      </c>
      <c r="F751" t="str">
        <f t="shared" si="141"/>
        <v>MJ</v>
      </c>
      <c r="G751" s="32" t="str">
        <f>$B$633&amp;" * "&amp;D207</f>
        <v>rigid_energy * rigid_PS_SOR_RE_mass_mechanical</v>
      </c>
      <c r="H751" s="220"/>
      <c r="I751" s="6" t="str">
        <f t="shared" si="142"/>
        <v>PS</v>
      </c>
      <c r="J751" t="s">
        <v>907</v>
      </c>
      <c r="K751" s="33">
        <f t="shared" si="139"/>
        <v>136.53342146399996</v>
      </c>
      <c r="L751" t="str">
        <f t="shared" si="143"/>
        <v>MJ</v>
      </c>
      <c r="M751" t="str">
        <f t="shared" si="140"/>
        <v>(rigid_PS_COL_SOR_energy_mechanical + rigid_PS_COL_INC_energy_mechanical) - rigid_PS_SOR_RE_energy_mechanical</v>
      </c>
      <c r="N751" s="19" t="s">
        <v>1005</v>
      </c>
    </row>
    <row r="752" spans="1:14" ht="15" customHeight="1" x14ac:dyDescent="0.2">
      <c r="A752" s="19"/>
      <c r="B752" s="220"/>
      <c r="C752" s="6" t="str">
        <f t="shared" si="138"/>
        <v>Other</v>
      </c>
      <c r="D752" t="s">
        <v>894</v>
      </c>
      <c r="E752">
        <f>$C$633*E208</f>
        <v>946.91249267999967</v>
      </c>
      <c r="F752" t="str">
        <f t="shared" si="141"/>
        <v>MJ</v>
      </c>
      <c r="G752" s="32" t="str">
        <f>$B$633&amp;" * "&amp;D208</f>
        <v>rigid_energy * rigid_Oth_SOR_RE_mass_mechanical</v>
      </c>
      <c r="H752" s="220"/>
      <c r="I752" s="6" t="str">
        <f t="shared" si="142"/>
        <v>Other</v>
      </c>
      <c r="J752" t="s">
        <v>908</v>
      </c>
      <c r="K752" s="33">
        <f t="shared" si="139"/>
        <v>682.66710731999967</v>
      </c>
      <c r="L752" t="str">
        <f t="shared" si="143"/>
        <v>MJ</v>
      </c>
      <c r="M752" t="str">
        <f t="shared" si="140"/>
        <v>(rigid_Oth_COL_SOR_energy_mechanical + rigid_Oth_COL_INC_energy_mechanical) - rigid_Oth_SOR_RE_energy_mechanical</v>
      </c>
      <c r="N752" s="19" t="s">
        <v>1005</v>
      </c>
    </row>
    <row r="753" spans="1:14" ht="15" customHeight="1" x14ac:dyDescent="0.2">
      <c r="A753" s="19"/>
      <c r="B753" s="220" t="s">
        <v>42</v>
      </c>
      <c r="C753" s="6" t="str">
        <f t="shared" si="138"/>
        <v>PET</v>
      </c>
      <c r="D753" t="s">
        <v>895</v>
      </c>
      <c r="E753">
        <f>$C$634*E209</f>
        <v>0</v>
      </c>
      <c r="F753" t="str">
        <f t="shared" si="141"/>
        <v>MJ</v>
      </c>
      <c r="G753" s="32" t="str">
        <f>$B$634&amp;" * "&amp;D209</f>
        <v>soft_energy * soft_PET_SOR_RE_mass_mechanical</v>
      </c>
      <c r="H753" s="220" t="s">
        <v>42</v>
      </c>
      <c r="I753" s="6" t="str">
        <f t="shared" si="142"/>
        <v>PET</v>
      </c>
      <c r="J753" t="s">
        <v>909</v>
      </c>
      <c r="K753" s="33">
        <f t="shared" si="139"/>
        <v>0</v>
      </c>
      <c r="L753" t="str">
        <f t="shared" si="143"/>
        <v>MJ</v>
      </c>
      <c r="M753" t="str">
        <f t="shared" si="140"/>
        <v>(soft_PET_COL_SOR_energy_mechanical + soft_PET_COL_INC_energy_mechanical) - soft_PET_SOR_RE_energy_mechanical</v>
      </c>
      <c r="N753" s="19" t="s">
        <v>1005</v>
      </c>
    </row>
    <row r="754" spans="1:14" ht="15" customHeight="1" x14ac:dyDescent="0.2">
      <c r="A754" s="19"/>
      <c r="B754" s="220"/>
      <c r="C754" s="6" t="str">
        <f t="shared" si="138"/>
        <v>PE</v>
      </c>
      <c r="D754" t="s">
        <v>896</v>
      </c>
      <c r="E754">
        <f>$C$634*E210</f>
        <v>8175.230078399999</v>
      </c>
      <c r="F754" t="str">
        <f t="shared" si="141"/>
        <v>MJ</v>
      </c>
      <c r="G754" s="32" t="str">
        <f>$B$634&amp;" * "&amp;D210</f>
        <v>soft_energy * soft_PE_SOR_RE_mass_mechanical</v>
      </c>
      <c r="H754" s="220"/>
      <c r="I754" s="6" t="str">
        <f t="shared" si="142"/>
        <v>PE</v>
      </c>
      <c r="J754" t="s">
        <v>910</v>
      </c>
      <c r="K754" s="33">
        <f t="shared" si="139"/>
        <v>1114.8041015999997</v>
      </c>
      <c r="L754" t="str">
        <f t="shared" si="143"/>
        <v>MJ</v>
      </c>
      <c r="M754" t="str">
        <f t="shared" si="140"/>
        <v>(soft_PE_COL_SOR_energy_mechanical + soft_PE_COL_INC_energy_mechanical) - soft_PE_SOR_RE_energy_mechanical</v>
      </c>
      <c r="N754" s="19" t="s">
        <v>1005</v>
      </c>
    </row>
    <row r="755" spans="1:14" ht="15" customHeight="1" x14ac:dyDescent="0.2">
      <c r="A755" s="19"/>
      <c r="B755" s="220"/>
      <c r="C755" s="6" t="str">
        <f t="shared" si="138"/>
        <v>PP</v>
      </c>
      <c r="D755" t="s">
        <v>897</v>
      </c>
      <c r="E755">
        <f>$C$634*E211</f>
        <v>0</v>
      </c>
      <c r="F755" t="str">
        <f t="shared" si="141"/>
        <v>MJ</v>
      </c>
      <c r="G755" s="32" t="str">
        <f>$B$634&amp;" * "&amp;D211</f>
        <v>soft_energy * soft_PP_SOR_RE_mass_mechanical</v>
      </c>
      <c r="H755" s="220"/>
      <c r="I755" s="6" t="str">
        <f t="shared" si="142"/>
        <v>PP</v>
      </c>
      <c r="J755" t="s">
        <v>911</v>
      </c>
      <c r="K755" s="33">
        <f t="shared" si="139"/>
        <v>0</v>
      </c>
      <c r="L755" t="str">
        <f t="shared" si="143"/>
        <v>MJ</v>
      </c>
      <c r="M755" t="str">
        <f t="shared" si="140"/>
        <v>(soft_PP_COL_SOR_energy_mechanical + soft_PP_COL_INC_energy_mechanical) - soft_PP_SOR_RE_energy_mechanical</v>
      </c>
      <c r="N755" s="19" t="s">
        <v>1005</v>
      </c>
    </row>
    <row r="756" spans="1:14" ht="15" customHeight="1" x14ac:dyDescent="0.2">
      <c r="A756" s="19"/>
      <c r="B756" s="220"/>
      <c r="C756" s="6" t="str">
        <f t="shared" si="138"/>
        <v>PS</v>
      </c>
      <c r="D756" t="s">
        <v>898</v>
      </c>
      <c r="E756">
        <f>$C$634*E212</f>
        <v>0</v>
      </c>
      <c r="F756" t="str">
        <f t="shared" si="141"/>
        <v>MJ</v>
      </c>
      <c r="G756" s="32" t="str">
        <f>$B$634&amp;" * "&amp;D212</f>
        <v>soft_energy * soft_PS_SOR_RE_mass_mechanical</v>
      </c>
      <c r="H756" s="220"/>
      <c r="I756" s="6" t="str">
        <f t="shared" si="142"/>
        <v>PS</v>
      </c>
      <c r="J756" t="s">
        <v>912</v>
      </c>
      <c r="K756" s="33">
        <f t="shared" si="139"/>
        <v>0</v>
      </c>
      <c r="L756" t="str">
        <f t="shared" si="143"/>
        <v>MJ</v>
      </c>
      <c r="M756" t="str">
        <f t="shared" si="140"/>
        <v>(soft_PS_COL_SOR_energy_mechanical + soft_PS_COL_INC_energy_mechanical) - soft_PS_SOR_RE_energy_mechanical</v>
      </c>
      <c r="N756" s="19" t="s">
        <v>1005</v>
      </c>
    </row>
    <row r="757" spans="1:14" ht="15" customHeight="1" x14ac:dyDescent="0.2">
      <c r="A757" s="19"/>
      <c r="B757" s="227"/>
      <c r="C757" s="60" t="str">
        <f t="shared" si="138"/>
        <v>Other</v>
      </c>
      <c r="D757" s="44" t="s">
        <v>2757</v>
      </c>
      <c r="E757" s="44">
        <f>$C$634*E213</f>
        <v>1799.410805598</v>
      </c>
      <c r="F757" s="44" t="str">
        <f t="shared" si="141"/>
        <v>MJ</v>
      </c>
      <c r="G757" s="61" t="str">
        <f>$B$634&amp;" * "&amp;D213</f>
        <v>soft_energy * soft_Oth_SOR_RE_mass_mechanical</v>
      </c>
      <c r="H757" s="220"/>
      <c r="I757" s="6" t="str">
        <f t="shared" si="142"/>
        <v>Other</v>
      </c>
      <c r="J757" t="s">
        <v>913</v>
      </c>
      <c r="K757" s="33">
        <f t="shared" si="139"/>
        <v>1297.2672544020006</v>
      </c>
      <c r="L757" t="str">
        <f t="shared" si="143"/>
        <v>MJ</v>
      </c>
      <c r="M757" t="str">
        <f t="shared" si="140"/>
        <v>(soft_Oth_COL_SOR_energy_mechanical + soft_Oth_COL_INC_energy_mechanical) - soft_Oth_SOR_RE_energy_mechanical</v>
      </c>
      <c r="N757" s="19" t="s">
        <v>1005</v>
      </c>
    </row>
    <row r="758" spans="1:14" ht="25" customHeight="1" x14ac:dyDescent="0.2">
      <c r="A758" s="19"/>
      <c r="B758" s="214" t="s">
        <v>81</v>
      </c>
      <c r="C758" s="214"/>
      <c r="D758" s="214"/>
      <c r="E758" s="214"/>
      <c r="F758" s="214"/>
      <c r="G758" s="214"/>
      <c r="H758" s="214"/>
      <c r="I758" s="214"/>
      <c r="J758" s="214"/>
      <c r="K758" s="214"/>
      <c r="L758" s="214"/>
      <c r="M758" s="214"/>
      <c r="N758" s="19" t="s">
        <v>1005</v>
      </c>
    </row>
    <row r="759" spans="1:14" ht="15" customHeight="1" x14ac:dyDescent="0.2">
      <c r="A759" s="19"/>
      <c r="B759" s="2" t="str">
        <f>B725</f>
        <v>Parameter</v>
      </c>
      <c r="C759" s="2" t="str">
        <f>C725</f>
        <v>Value</v>
      </c>
      <c r="D759" s="2" t="str">
        <f>D725</f>
        <v>Unit</v>
      </c>
      <c r="E759" s="2" t="str">
        <f>E725</f>
        <v>Description</v>
      </c>
      <c r="F759" s="2"/>
      <c r="G759" s="1"/>
      <c r="H759" s="2" t="str">
        <f>H725</f>
        <v>Parameter</v>
      </c>
      <c r="I759" s="2" t="str">
        <f>I725</f>
        <v>Value</v>
      </c>
      <c r="J759" s="2" t="str">
        <f>J725</f>
        <v>Unit</v>
      </c>
      <c r="K759" s="2" t="str">
        <f>K725</f>
        <v>Description</v>
      </c>
      <c r="L759" s="2"/>
      <c r="M759" s="2"/>
      <c r="N759" s="19" t="s">
        <v>1005</v>
      </c>
    </row>
    <row r="760" spans="1:14" ht="15" customHeight="1" x14ac:dyDescent="0.2">
      <c r="A760" s="19"/>
      <c r="B760" t="s">
        <v>2858</v>
      </c>
      <c r="C760">
        <f>C736*(E158+E163+E168)</f>
        <v>72.462600000000009</v>
      </c>
      <c r="D760" t="s">
        <v>121</v>
      </c>
      <c r="E760" s="2"/>
      <c r="F760" s="2"/>
      <c r="G760" s="4"/>
      <c r="H760" s="2"/>
      <c r="I760" s="2"/>
      <c r="J760" s="2"/>
      <c r="K760" s="2"/>
      <c r="L760" s="2"/>
      <c r="M760" s="2"/>
      <c r="N760" s="19"/>
    </row>
    <row r="761" spans="1:14" ht="15" customHeight="1" x14ac:dyDescent="0.2">
      <c r="A761" s="19"/>
      <c r="B761" t="s">
        <v>2859</v>
      </c>
      <c r="C761">
        <f t="shared" ref="C761:C763" si="144">C737*(E159+E164+E169)</f>
        <v>40.711679999999994</v>
      </c>
      <c r="D761" t="str">
        <f>D760</f>
        <v>MJ</v>
      </c>
      <c r="E761" s="2"/>
      <c r="F761" s="2"/>
      <c r="G761" s="4"/>
      <c r="H761" s="2"/>
      <c r="I761" s="2"/>
      <c r="J761" s="2"/>
      <c r="K761" s="2"/>
      <c r="L761" s="2"/>
      <c r="M761" s="2"/>
      <c r="N761" s="19"/>
    </row>
    <row r="762" spans="1:14" ht="15" customHeight="1" x14ac:dyDescent="0.2">
      <c r="A762" s="19"/>
      <c r="B762" t="s">
        <v>2860</v>
      </c>
      <c r="C762">
        <f t="shared" si="144"/>
        <v>9.6526079999999972</v>
      </c>
      <c r="D762" t="str">
        <f t="shared" ref="D762:D763" si="145">D761</f>
        <v>MJ</v>
      </c>
      <c r="E762" s="2"/>
      <c r="F762" s="2"/>
      <c r="G762" s="4"/>
      <c r="H762" s="2"/>
      <c r="I762" s="2"/>
      <c r="J762" s="2"/>
      <c r="K762" s="2"/>
      <c r="L762" s="2"/>
      <c r="M762" s="2"/>
      <c r="N762" s="19"/>
    </row>
    <row r="763" spans="1:14" ht="15" customHeight="1" x14ac:dyDescent="0.2">
      <c r="A763" s="19"/>
      <c r="B763" t="s">
        <v>2861</v>
      </c>
      <c r="C763">
        <f t="shared" si="144"/>
        <v>1.1874239999999998</v>
      </c>
      <c r="D763" t="str">
        <f t="shared" si="145"/>
        <v>MJ</v>
      </c>
      <c r="E763" s="2"/>
      <c r="F763" s="2"/>
      <c r="G763" s="4"/>
      <c r="H763" s="2"/>
      <c r="I763" s="2"/>
      <c r="J763" s="2"/>
      <c r="K763" s="2"/>
      <c r="L763" s="2"/>
      <c r="M763" s="2"/>
      <c r="N763" s="19"/>
    </row>
    <row r="764" spans="1:14" ht="15" customHeight="1" x14ac:dyDescent="0.2">
      <c r="A764" s="19"/>
      <c r="B764" t="s">
        <v>919</v>
      </c>
      <c r="C764">
        <f>SUM(E743:E747)</f>
        <v>7431.8249249999999</v>
      </c>
      <c r="D764" t="s">
        <v>121</v>
      </c>
      <c r="E764" t="s">
        <v>1076</v>
      </c>
      <c r="G764" s="32"/>
      <c r="H764" t="s">
        <v>914</v>
      </c>
      <c r="I764" s="33">
        <f>SUM(K743:K747)</f>
        <v>1398.066075</v>
      </c>
      <c r="J764" t="s">
        <v>121</v>
      </c>
      <c r="K764" t="s">
        <v>1082</v>
      </c>
      <c r="N764" s="19" t="s">
        <v>1005</v>
      </c>
    </row>
    <row r="765" spans="1:14" ht="15" customHeight="1" x14ac:dyDescent="0.2">
      <c r="A765" s="19"/>
      <c r="B765" t="s">
        <v>920</v>
      </c>
      <c r="C765">
        <f>SUM(E748:E752)</f>
        <v>4675.7418824159995</v>
      </c>
      <c r="D765" t="str">
        <f>D764</f>
        <v>MJ</v>
      </c>
      <c r="E765" t="s">
        <v>1077</v>
      </c>
      <c r="G765" s="32"/>
      <c r="H765" t="s">
        <v>915</v>
      </c>
      <c r="I765" s="33">
        <f>SUM(K748:K752)</f>
        <v>1842.5765175839997</v>
      </c>
      <c r="J765" t="str">
        <f>J764</f>
        <v>MJ</v>
      </c>
      <c r="K765" t="s">
        <v>1083</v>
      </c>
      <c r="N765" s="19" t="s">
        <v>1005</v>
      </c>
    </row>
    <row r="766" spans="1:14" ht="15" customHeight="1" thickBot="1" x14ac:dyDescent="0.25">
      <c r="A766" s="19"/>
      <c r="B766" s="8" t="s">
        <v>921</v>
      </c>
      <c r="C766" s="8">
        <f>SUM(E753:E757)</f>
        <v>9974.6408839979995</v>
      </c>
      <c r="D766" s="8" t="str">
        <f>D765</f>
        <v>MJ</v>
      </c>
      <c r="E766" s="8" t="s">
        <v>1078</v>
      </c>
      <c r="F766" s="8"/>
      <c r="G766" s="87"/>
      <c r="H766" s="8" t="s">
        <v>916</v>
      </c>
      <c r="I766" s="34">
        <f>SUM(K753:K757)</f>
        <v>2412.0713560020004</v>
      </c>
      <c r="J766" s="8" t="str">
        <f>J765</f>
        <v>MJ</v>
      </c>
      <c r="K766" s="8" t="s">
        <v>1084</v>
      </c>
      <c r="L766" s="8"/>
      <c r="M766" s="8"/>
      <c r="N766" s="19"/>
    </row>
    <row r="767" spans="1:14" ht="15" customHeight="1" thickTop="1" x14ac:dyDescent="0.2">
      <c r="A767" s="19"/>
      <c r="B767" s="44" t="s">
        <v>918</v>
      </c>
      <c r="C767" s="60">
        <f>SUM(C764:C766)</f>
        <v>22082.207691413998</v>
      </c>
      <c r="D767" s="44" t="str">
        <f>D766</f>
        <v>MJ</v>
      </c>
      <c r="E767" s="44" t="s">
        <v>1079</v>
      </c>
      <c r="F767" s="44"/>
      <c r="G767" s="61"/>
      <c r="H767" s="44" t="s">
        <v>917</v>
      </c>
      <c r="I767" s="62">
        <f>SUM(I764:I766)</f>
        <v>5652.7139485859998</v>
      </c>
      <c r="J767" s="44" t="str">
        <f>J766</f>
        <v>MJ</v>
      </c>
      <c r="K767" s="44" t="s">
        <v>1094</v>
      </c>
      <c r="L767" s="44"/>
      <c r="M767" s="44"/>
      <c r="N767" s="19"/>
    </row>
    <row r="768" spans="1:14" ht="15" customHeight="1" x14ac:dyDescent="0.2">
      <c r="A768" s="19"/>
      <c r="B768" s="125" t="s">
        <v>2704</v>
      </c>
      <c r="C768" s="125" t="str">
        <f>IF(C767+I767=C729+I729,"true")</f>
        <v>true</v>
      </c>
      <c r="D768" s="125"/>
      <c r="E768" s="125"/>
      <c r="F768" s="125"/>
      <c r="G768" s="125"/>
      <c r="H768" s="125"/>
      <c r="I768" s="125"/>
      <c r="J768" s="125"/>
      <c r="K768" s="125"/>
      <c r="L768" s="125"/>
      <c r="M768" s="125"/>
      <c r="N768" s="19"/>
    </row>
    <row r="769" spans="1:14" ht="15" customHeight="1" x14ac:dyDescent="0.2">
      <c r="A769" s="19"/>
      <c r="B769" s="19"/>
      <c r="C769" s="19"/>
      <c r="D769" s="19"/>
      <c r="E769" s="19"/>
      <c r="F769" s="19"/>
      <c r="G769" s="19"/>
      <c r="H769" s="19"/>
      <c r="I769" s="19"/>
      <c r="J769" s="19"/>
      <c r="K769" s="19"/>
      <c r="L769" s="19"/>
      <c r="M769" s="19"/>
      <c r="N769" s="19"/>
    </row>
    <row r="770" spans="1:14" ht="15" customHeight="1" x14ac:dyDescent="0.2">
      <c r="A770" s="19"/>
      <c r="B770" s="19"/>
      <c r="C770" s="19"/>
      <c r="D770" s="19"/>
      <c r="E770" s="19"/>
      <c r="F770" s="19"/>
      <c r="G770" s="19"/>
      <c r="H770" s="19"/>
      <c r="I770" s="19"/>
      <c r="J770" s="19"/>
      <c r="K770" s="19"/>
      <c r="L770" s="19"/>
      <c r="M770" s="19"/>
      <c r="N770" s="19"/>
    </row>
    <row r="771" spans="1:14" ht="15" customHeight="1" x14ac:dyDescent="0.2">
      <c r="A771" s="19"/>
      <c r="B771" s="19"/>
      <c r="C771" s="19"/>
      <c r="D771" s="19"/>
      <c r="E771" s="19"/>
      <c r="F771" s="19"/>
      <c r="G771" s="19"/>
      <c r="H771" s="19"/>
      <c r="I771" s="19"/>
      <c r="J771" s="19"/>
      <c r="K771" s="19"/>
      <c r="L771" s="19"/>
      <c r="M771" s="19"/>
      <c r="N771" s="19"/>
    </row>
    <row r="772" spans="1:14" ht="15" customHeight="1" x14ac:dyDescent="0.2">
      <c r="A772" s="19"/>
      <c r="B772" s="19"/>
      <c r="C772" s="19"/>
      <c r="D772" s="19"/>
      <c r="E772" s="19"/>
      <c r="F772" s="19"/>
      <c r="G772" s="19"/>
      <c r="H772" s="19"/>
      <c r="I772" s="19"/>
      <c r="J772" s="19"/>
      <c r="K772" s="19"/>
      <c r="L772" s="19"/>
      <c r="M772" s="19"/>
      <c r="N772" s="19"/>
    </row>
    <row r="773" spans="1:14" ht="15" customHeight="1" x14ac:dyDescent="0.2">
      <c r="A773" s="19"/>
      <c r="B773" s="19"/>
      <c r="C773" s="19"/>
      <c r="D773" s="19"/>
      <c r="E773" s="19"/>
      <c r="F773" s="19"/>
      <c r="G773" s="19"/>
      <c r="H773" s="19"/>
      <c r="I773" s="19"/>
      <c r="J773" s="19"/>
      <c r="K773" s="19"/>
      <c r="L773" s="19"/>
      <c r="M773" s="19"/>
      <c r="N773" s="19"/>
    </row>
    <row r="774" spans="1:14" ht="25" customHeight="1" x14ac:dyDescent="0.2">
      <c r="A774" s="19"/>
      <c r="B774" s="232" t="s">
        <v>82</v>
      </c>
      <c r="C774" s="232"/>
      <c r="D774" s="232"/>
      <c r="E774" s="232"/>
      <c r="F774" s="232"/>
      <c r="G774" s="232"/>
      <c r="H774" s="232"/>
      <c r="I774" s="232"/>
      <c r="J774" s="232"/>
      <c r="K774" s="232"/>
      <c r="L774" s="232"/>
      <c r="M774" s="232"/>
      <c r="N774" s="19"/>
    </row>
    <row r="775" spans="1:14" ht="13.5" customHeight="1" x14ac:dyDescent="0.2">
      <c r="A775" s="19"/>
      <c r="B775" s="163" t="s">
        <v>2</v>
      </c>
      <c r="C775" s="163" t="s">
        <v>3</v>
      </c>
      <c r="D775" s="163" t="s">
        <v>4</v>
      </c>
      <c r="E775" s="163" t="s">
        <v>5</v>
      </c>
      <c r="F775" s="163" t="s">
        <v>6</v>
      </c>
      <c r="G775" s="163" t="s">
        <v>7</v>
      </c>
      <c r="H775" s="163" t="s">
        <v>112</v>
      </c>
      <c r="I775" s="164"/>
      <c r="J775" s="164"/>
      <c r="K775" s="164"/>
      <c r="L775" s="164"/>
      <c r="M775" s="164"/>
      <c r="N775" s="19"/>
    </row>
    <row r="776" spans="1:14" ht="13.5" customHeight="1" x14ac:dyDescent="0.2">
      <c r="A776" s="19"/>
      <c r="B776" s="167" t="str">
        <f>'info, structure, parameters'!A249</f>
        <v>RE_energy_PET_mechanical</v>
      </c>
      <c r="C776" s="167">
        <f>'info, structure, parameters'!B249</f>
        <v>8.6539999999999999</v>
      </c>
      <c r="D776" s="167" t="str">
        <f>'info, structure, parameters'!C249</f>
        <v>MJ/kg PET</v>
      </c>
      <c r="E776" s="167">
        <f>'info, structure, parameters'!D249</f>
        <v>2.8039999999999998</v>
      </c>
      <c r="F776" s="167">
        <f>'info, structure, parameters'!E249</f>
        <v>8.6539999999999999</v>
      </c>
      <c r="G776" s="167" t="str">
        <f>'info, structure, parameters'!F249</f>
        <v>Amount of energy inputted during the reprocessing of 1 kg of PET during mechanical recycling</v>
      </c>
      <c r="H776" s="167">
        <f>'info, structure, parameters'!G249</f>
        <v>10</v>
      </c>
      <c r="I776" s="165"/>
      <c r="J776" s="165"/>
      <c r="K776" s="165"/>
      <c r="L776" s="165"/>
      <c r="M776" s="165"/>
      <c r="N776" s="19"/>
    </row>
    <row r="777" spans="1:14" ht="13.5" customHeight="1" x14ac:dyDescent="0.2">
      <c r="A777" s="19"/>
      <c r="B777" s="167" t="str">
        <f>'info, structure, parameters'!A250</f>
        <v>RE_energy_PE_mechanical</v>
      </c>
      <c r="C777" s="167">
        <f>'info, structure, parameters'!B250</f>
        <v>8.7439999999999998</v>
      </c>
      <c r="D777" s="167" t="str">
        <f>'info, structure, parameters'!C250</f>
        <v>MJ/kg PE</v>
      </c>
      <c r="E777" s="167">
        <f>'info, structure, parameters'!D250</f>
        <v>0.9900000000000001</v>
      </c>
      <c r="F777" s="167">
        <f>'info, structure, parameters'!E250</f>
        <v>8.7439999999999998</v>
      </c>
      <c r="G777" s="167" t="str">
        <f>'info, structure, parameters'!F250</f>
        <v>Amount of energy inputted during the reprocessing of 1 kg of PE during mechanical recycling</v>
      </c>
      <c r="H777" s="167">
        <f>'info, structure, parameters'!G250</f>
        <v>10</v>
      </c>
      <c r="I777" s="165"/>
      <c r="J777" s="165"/>
      <c r="K777" s="165"/>
      <c r="L777" s="165"/>
      <c r="M777" s="165"/>
      <c r="N777" s="19"/>
    </row>
    <row r="778" spans="1:14" ht="13.5" customHeight="1" x14ac:dyDescent="0.2">
      <c r="A778" s="19"/>
      <c r="B778" s="167" t="str">
        <f>'info, structure, parameters'!A251</f>
        <v>RE_energy_PP_mechanical</v>
      </c>
      <c r="C778" s="167">
        <f>'info, structure, parameters'!B251</f>
        <v>8.6539999999999999</v>
      </c>
      <c r="D778" s="167" t="str">
        <f>'info, structure, parameters'!C251</f>
        <v>MJ/kg PP</v>
      </c>
      <c r="E778" s="167">
        <f>'info, structure, parameters'!D251</f>
        <v>0.9900000000000001</v>
      </c>
      <c r="F778" s="167">
        <f>'info, structure, parameters'!E251</f>
        <v>8.6539999999999999</v>
      </c>
      <c r="G778" s="167" t="str">
        <f>'info, structure, parameters'!F251</f>
        <v>Amount of energy inputted during the reprocessing of 1 kg of PP during mechanical recycling</v>
      </c>
      <c r="H778" s="167">
        <f>'info, structure, parameters'!G251</f>
        <v>10</v>
      </c>
      <c r="I778" s="165"/>
      <c r="J778" s="165"/>
      <c r="K778" s="165"/>
      <c r="L778" s="165"/>
      <c r="M778" s="165"/>
      <c r="N778" s="19"/>
    </row>
    <row r="779" spans="1:14" ht="16.5" customHeight="1" x14ac:dyDescent="0.2">
      <c r="A779" s="19"/>
      <c r="B779" s="170" t="str">
        <f>'info, structure, parameters'!A252</f>
        <v>RE_energy_PS_mechanical</v>
      </c>
      <c r="C779" s="170">
        <f>'info, structure, parameters'!B252</f>
        <v>8.7439999999999998</v>
      </c>
      <c r="D779" s="170" t="str">
        <f>'info, structure, parameters'!C252</f>
        <v>MJ/kg PS</v>
      </c>
      <c r="E779" s="170">
        <f>'info, structure, parameters'!D252</f>
        <v>0.9900000000000001</v>
      </c>
      <c r="F779" s="170">
        <f>'info, structure, parameters'!E252</f>
        <v>8.7439999999999998</v>
      </c>
      <c r="G779" s="170" t="str">
        <f>'info, structure, parameters'!F252</f>
        <v>Amount of energy inputted during the reprocessing of 1 kg of PS during mechanical recycling</v>
      </c>
      <c r="H779" s="170">
        <f>'info, structure, parameters'!G252</f>
        <v>10</v>
      </c>
      <c r="I779" s="166"/>
      <c r="J779" s="166"/>
      <c r="K779" s="166"/>
      <c r="L779" s="166"/>
      <c r="M779" s="166"/>
      <c r="N779" s="19"/>
    </row>
    <row r="780" spans="1:14" ht="25" customHeight="1" x14ac:dyDescent="0.2">
      <c r="A780" s="19"/>
      <c r="B780" s="226" t="s">
        <v>92</v>
      </c>
      <c r="C780" s="226"/>
      <c r="D780" s="226"/>
      <c r="E780" s="226"/>
      <c r="F780" s="226"/>
      <c r="G780" s="226"/>
      <c r="H780" s="226"/>
      <c r="I780" s="226"/>
      <c r="J780" s="226"/>
      <c r="K780" s="226"/>
      <c r="L780" s="226"/>
      <c r="M780" s="226"/>
      <c r="N780" s="19"/>
    </row>
    <row r="781" spans="1:14" ht="25" customHeight="1" x14ac:dyDescent="0.2">
      <c r="A781" s="19"/>
      <c r="B781" s="214" t="s">
        <v>95</v>
      </c>
      <c r="C781" s="214"/>
      <c r="D781" s="214"/>
      <c r="E781" s="214"/>
      <c r="F781" s="214"/>
      <c r="G781" s="223"/>
      <c r="H781" s="214" t="s">
        <v>59</v>
      </c>
      <c r="I781" s="214"/>
      <c r="J781" s="214"/>
      <c r="K781" s="214"/>
      <c r="L781" s="214"/>
      <c r="M781" s="214"/>
      <c r="N781" s="19"/>
    </row>
    <row r="782" spans="1:14" ht="15" customHeight="1" x14ac:dyDescent="0.2">
      <c r="A782" s="19"/>
      <c r="B782" s="2" t="str">
        <f>B742</f>
        <v>Fraction</v>
      </c>
      <c r="C782" s="2" t="str">
        <f>C742</f>
        <v>Sub-fraction</v>
      </c>
      <c r="D782" s="2" t="s">
        <v>99</v>
      </c>
      <c r="E782" s="2" t="str">
        <f>E742</f>
        <v>Value</v>
      </c>
      <c r="F782" s="2" t="str">
        <f>F742</f>
        <v>Unit</v>
      </c>
      <c r="G782" s="4" t="str">
        <f>G742</f>
        <v>Equation</v>
      </c>
      <c r="H782" s="2" t="str">
        <f>H742</f>
        <v>Fraction</v>
      </c>
      <c r="I782" s="2" t="str">
        <f>I742</f>
        <v>Sub-fraction</v>
      </c>
      <c r="J782" s="2" t="str">
        <f>D782</f>
        <v>Name</v>
      </c>
      <c r="K782" s="2" t="str">
        <f>K742</f>
        <v>Value</v>
      </c>
      <c r="L782" s="2" t="str">
        <f>L742</f>
        <v>Unit</v>
      </c>
      <c r="M782" s="2" t="str">
        <f>M742</f>
        <v>Equation</v>
      </c>
      <c r="N782" s="19"/>
    </row>
    <row r="783" spans="1:14" ht="15" customHeight="1" x14ac:dyDescent="0.2">
      <c r="A783" s="19"/>
      <c r="B783" s="220" t="s">
        <v>14</v>
      </c>
      <c r="C783" s="6" t="str">
        <f t="shared" ref="C783:C797" si="146">C743</f>
        <v>PET</v>
      </c>
      <c r="D783" t="s">
        <v>922</v>
      </c>
      <c r="E783">
        <f>$C$632*E238</f>
        <v>4663.5657975899994</v>
      </c>
      <c r="F783" t="s">
        <v>121</v>
      </c>
      <c r="G783" s="32" t="str">
        <f>$B$632&amp;" * "&amp;D238</f>
        <v>bottle_energy * bottle_PET_RE_NEW_mass_mechanical</v>
      </c>
      <c r="H783" s="220" t="s">
        <v>14</v>
      </c>
      <c r="I783" s="6" t="str">
        <f>C783</f>
        <v>PET</v>
      </c>
      <c r="J783" t="s">
        <v>963</v>
      </c>
      <c r="K783">
        <f t="shared" ref="K783:K797" si="147">E743-E783</f>
        <v>955.18817541000044</v>
      </c>
      <c r="L783" t="s">
        <v>121</v>
      </c>
      <c r="M783" t="str">
        <f t="shared" ref="M783:M797" si="148">D743&amp;" - "&amp;D783</f>
        <v>bottle_PET_SOR_RE_energy_mechanical - bottle_PET_RE_NEW_energy_mechanical</v>
      </c>
      <c r="N783" s="19"/>
    </row>
    <row r="784" spans="1:14" ht="15" customHeight="1" x14ac:dyDescent="0.2">
      <c r="A784" s="19"/>
      <c r="B784" s="220"/>
      <c r="C784" s="6" t="str">
        <f t="shared" si="146"/>
        <v>PE</v>
      </c>
      <c r="D784" t="s">
        <v>923</v>
      </c>
      <c r="E784">
        <f>$C$632*E239</f>
        <v>1686.1559853600002</v>
      </c>
      <c r="F784" t="str">
        <f>F783</f>
        <v>MJ</v>
      </c>
      <c r="G784" s="32" t="str">
        <f>$B$632&amp;" * "&amp;D239</f>
        <v>bottle_energy * bottle_PE_RE_NEW_mass_mechanical</v>
      </c>
      <c r="H784" s="220"/>
      <c r="I784" s="6" t="str">
        <f t="shared" ref="I784:I786" si="149">C784</f>
        <v>PE</v>
      </c>
      <c r="J784" t="s">
        <v>964</v>
      </c>
      <c r="K784">
        <f t="shared" si="147"/>
        <v>126.91496663999965</v>
      </c>
      <c r="L784" t="str">
        <f>L783</f>
        <v>MJ</v>
      </c>
      <c r="M784" t="str">
        <f t="shared" si="148"/>
        <v>bottle_PE_SOR_RE_energy_mechanical - bottle_PE_RE_NEW_energy_mechanical</v>
      </c>
      <c r="N784" s="19"/>
    </row>
    <row r="785" spans="1:14" ht="15" customHeight="1" x14ac:dyDescent="0.2">
      <c r="A785" s="19"/>
      <c r="B785" s="220"/>
      <c r="C785" s="6" t="str">
        <f t="shared" si="146"/>
        <v>PP</v>
      </c>
      <c r="D785" t="s">
        <v>924</v>
      </c>
      <c r="E785">
        <f>$C$632*E240</f>
        <v>0</v>
      </c>
      <c r="F785" t="str">
        <f t="shared" ref="F785:F797" si="150">F784</f>
        <v>MJ</v>
      </c>
      <c r="G785" s="32" t="str">
        <f>$B$632&amp;" * "&amp;D240</f>
        <v>bottle_energy * bottle_PP_RE_NEW_mass_mechanical</v>
      </c>
      <c r="H785" s="220"/>
      <c r="I785" s="6" t="str">
        <f t="shared" si="149"/>
        <v>PP</v>
      </c>
      <c r="J785" t="s">
        <v>965</v>
      </c>
      <c r="K785">
        <f t="shared" si="147"/>
        <v>0</v>
      </c>
      <c r="L785" t="str">
        <f t="shared" ref="L785:L797" si="151">L784</f>
        <v>MJ</v>
      </c>
      <c r="M785" t="str">
        <f t="shared" si="148"/>
        <v>bottle_PP_SOR_RE_energy_mechanical - bottle_PP_RE_NEW_energy_mechanical</v>
      </c>
      <c r="N785" s="19"/>
    </row>
    <row r="786" spans="1:14" ht="15" customHeight="1" x14ac:dyDescent="0.2">
      <c r="A786" s="19"/>
      <c r="B786" s="220"/>
      <c r="C786" s="6" t="str">
        <f t="shared" si="146"/>
        <v>PS</v>
      </c>
      <c r="D786" t="s">
        <v>925</v>
      </c>
      <c r="E786">
        <f>$C$632*E241</f>
        <v>0</v>
      </c>
      <c r="F786" t="str">
        <f t="shared" si="150"/>
        <v>MJ</v>
      </c>
      <c r="G786" s="32" t="str">
        <f>$B$632&amp;" * "&amp;D241</f>
        <v>bottle_energy * bottle_PS_RE_NEW_mass_mechanical</v>
      </c>
      <c r="H786" s="220"/>
      <c r="I786" s="6" t="str">
        <f t="shared" si="149"/>
        <v>PS</v>
      </c>
      <c r="J786" t="s">
        <v>966</v>
      </c>
      <c r="K786">
        <f t="shared" si="147"/>
        <v>0</v>
      </c>
      <c r="L786" t="str">
        <f t="shared" si="151"/>
        <v>MJ</v>
      </c>
      <c r="M786" t="str">
        <f t="shared" si="148"/>
        <v>bottle_PS_SOR_RE_energy_mechanical - bottle_PS_RE_NEW_energy_mechanical</v>
      </c>
      <c r="N786" s="19"/>
    </row>
    <row r="787" spans="1:14" ht="15" customHeight="1" x14ac:dyDescent="0.2">
      <c r="A787" s="19"/>
      <c r="B787" s="220"/>
      <c r="C787" s="6" t="str">
        <f t="shared" si="146"/>
        <v>Other</v>
      </c>
      <c r="D787" t="s">
        <v>926</v>
      </c>
      <c r="E787">
        <f>$C$632*E242</f>
        <v>0</v>
      </c>
      <c r="F787" t="str">
        <f t="shared" si="150"/>
        <v>MJ</v>
      </c>
      <c r="G787" s="32" t="str">
        <f>$B$632&amp;" * "&amp;D242</f>
        <v>bottle_energy * bottle_Oth_RE_NEW_mass_mechanical</v>
      </c>
      <c r="H787" s="220"/>
      <c r="I787" s="6" t="str">
        <f>C787</f>
        <v>Other</v>
      </c>
      <c r="J787" t="s">
        <v>967</v>
      </c>
      <c r="K787">
        <f t="shared" si="147"/>
        <v>0</v>
      </c>
      <c r="L787" t="str">
        <f t="shared" si="151"/>
        <v>MJ</v>
      </c>
      <c r="M787" t="str">
        <f t="shared" si="148"/>
        <v>bottle_Oth_SOR_RE_energy_mechanical - bottle_Oth_RE_NEW_energy_mechanical</v>
      </c>
      <c r="N787" s="19"/>
    </row>
    <row r="788" spans="1:14" ht="15" customHeight="1" x14ac:dyDescent="0.2">
      <c r="A788" s="19"/>
      <c r="B788" s="220" t="s">
        <v>15</v>
      </c>
      <c r="C788" s="6" t="str">
        <f t="shared" si="146"/>
        <v>PET</v>
      </c>
      <c r="D788" t="s">
        <v>927</v>
      </c>
      <c r="E788">
        <f>$C$633*E243</f>
        <v>898.09390915199981</v>
      </c>
      <c r="F788" t="str">
        <f t="shared" si="150"/>
        <v>MJ</v>
      </c>
      <c r="G788" s="32" t="str">
        <f>$B$633&amp;" * "&amp;D243</f>
        <v>rigid_energy * rigid_PET_RE_NEW_mass_mechanical</v>
      </c>
      <c r="H788" s="220" t="s">
        <v>15</v>
      </c>
      <c r="I788" s="6" t="str">
        <f t="shared" ref="I788:I797" si="152">C788</f>
        <v>PET</v>
      </c>
      <c r="J788" t="s">
        <v>968</v>
      </c>
      <c r="K788">
        <f t="shared" si="147"/>
        <v>183.94694524800013</v>
      </c>
      <c r="L788" t="str">
        <f t="shared" si="151"/>
        <v>MJ</v>
      </c>
      <c r="M788" t="str">
        <f t="shared" si="148"/>
        <v>rigid_PET_SOR_RE_energy_mechanical - rigid_PET_RE_NEW_energy_mechanical</v>
      </c>
      <c r="N788" s="19"/>
    </row>
    <row r="789" spans="1:14" ht="15" customHeight="1" x14ac:dyDescent="0.2">
      <c r="A789" s="19"/>
      <c r="B789" s="220"/>
      <c r="C789" s="6" t="str">
        <f t="shared" si="146"/>
        <v>PE</v>
      </c>
      <c r="D789" t="s">
        <v>928</v>
      </c>
      <c r="E789">
        <f>$C$633*E244</f>
        <v>731.35532448000004</v>
      </c>
      <c r="F789" t="str">
        <f t="shared" si="150"/>
        <v>MJ</v>
      </c>
      <c r="G789" s="32" t="str">
        <f>$B$633&amp;" * "&amp;D244</f>
        <v>rigid_energy * rigid_PE_RE_NEW_mass_mechanical</v>
      </c>
      <c r="H789" s="220"/>
      <c r="I789" s="6" t="str">
        <f t="shared" si="152"/>
        <v>PE</v>
      </c>
      <c r="J789" t="s">
        <v>969</v>
      </c>
      <c r="K789">
        <f t="shared" si="147"/>
        <v>129.06270431999997</v>
      </c>
      <c r="L789" t="str">
        <f t="shared" si="151"/>
        <v>MJ</v>
      </c>
      <c r="M789" t="str">
        <f t="shared" si="148"/>
        <v>rigid_PE_SOR_RE_energy_mechanical - rigid_PE_RE_NEW_energy_mechanical</v>
      </c>
      <c r="N789" s="19"/>
    </row>
    <row r="790" spans="1:14" ht="15" customHeight="1" x14ac:dyDescent="0.2">
      <c r="A790" s="19"/>
      <c r="B790" s="220"/>
      <c r="C790" s="6" t="str">
        <f t="shared" si="146"/>
        <v>PP</v>
      </c>
      <c r="D790" t="s">
        <v>929</v>
      </c>
      <c r="E790">
        <f>$C$633*E245</f>
        <v>1341.4699267199999</v>
      </c>
      <c r="F790" t="str">
        <f t="shared" si="150"/>
        <v>MJ</v>
      </c>
      <c r="G790" s="32" t="str">
        <f>$B$633&amp;" * "&amp;D245</f>
        <v>rigid_energy * rigid_PP_RE_NEW_mass_mechanical</v>
      </c>
      <c r="H790" s="220"/>
      <c r="I790" s="6" t="str">
        <f t="shared" si="152"/>
        <v>PP</v>
      </c>
      <c r="J790" t="s">
        <v>970</v>
      </c>
      <c r="K790">
        <f t="shared" si="147"/>
        <v>255.51808127999993</v>
      </c>
      <c r="L790" t="str">
        <f t="shared" si="151"/>
        <v>MJ</v>
      </c>
      <c r="M790" t="str">
        <f t="shared" si="148"/>
        <v>rigid_PP_SOR_RE_energy_mechanical - rigid_PP_RE_NEW_energy_mechanical</v>
      </c>
      <c r="N790" s="19"/>
    </row>
    <row r="791" spans="1:14" ht="15" customHeight="1" x14ac:dyDescent="0.2">
      <c r="A791" s="19"/>
      <c r="B791" s="220"/>
      <c r="C791" s="6" t="str">
        <f t="shared" si="146"/>
        <v>PS</v>
      </c>
      <c r="D791" t="s">
        <v>930</v>
      </c>
      <c r="E791">
        <f>$C$633*E246</f>
        <v>159.08129877023998</v>
      </c>
      <c r="F791" t="str">
        <f t="shared" si="150"/>
        <v>MJ</v>
      </c>
      <c r="G791" s="32" t="str">
        <f>$B$633&amp;" * "&amp;D246</f>
        <v>rigid_energy * rigid_PS_RE_NEW_mass_mechanical</v>
      </c>
      <c r="H791" s="220"/>
      <c r="I791" s="6" t="str">
        <f t="shared" si="152"/>
        <v>PS</v>
      </c>
      <c r="J791" t="s">
        <v>971</v>
      </c>
      <c r="K791">
        <f t="shared" si="147"/>
        <v>30.301199765760032</v>
      </c>
      <c r="L791" t="str">
        <f t="shared" si="151"/>
        <v>MJ</v>
      </c>
      <c r="M791" t="str">
        <f t="shared" si="148"/>
        <v>rigid_PS_SOR_RE_energy_mechanical - rigid_PS_RE_NEW_energy_mechanical</v>
      </c>
      <c r="N791" s="19"/>
    </row>
    <row r="792" spans="1:14" ht="15" customHeight="1" x14ac:dyDescent="0.2">
      <c r="A792" s="19"/>
      <c r="B792" s="220"/>
      <c r="C792" s="6" t="str">
        <f t="shared" si="146"/>
        <v>Other</v>
      </c>
      <c r="D792" t="s">
        <v>931</v>
      </c>
      <c r="E792">
        <f>$C$633*E247</f>
        <v>795.40649385119968</v>
      </c>
      <c r="F792" t="str">
        <f t="shared" si="150"/>
        <v>MJ</v>
      </c>
      <c r="G792" s="32" t="str">
        <f>$B$633&amp;" * "&amp;D247</f>
        <v>rigid_energy * rigid_Oth_RE_NEW_mass_mechanical</v>
      </c>
      <c r="H792" s="220"/>
      <c r="I792" s="6" t="str">
        <f t="shared" si="152"/>
        <v>Other</v>
      </c>
      <c r="J792" t="s">
        <v>972</v>
      </c>
      <c r="K792">
        <f t="shared" si="147"/>
        <v>151.50599882879999</v>
      </c>
      <c r="L792" t="str">
        <f t="shared" si="151"/>
        <v>MJ</v>
      </c>
      <c r="M792" t="str">
        <f t="shared" si="148"/>
        <v>rigid_Oth_SOR_RE_energy_mechanical - rigid_Oth_RE_NEW_energy_mechanical</v>
      </c>
      <c r="N792" s="19"/>
    </row>
    <row r="793" spans="1:14" ht="15" customHeight="1" x14ac:dyDescent="0.2">
      <c r="A793" s="19"/>
      <c r="B793" s="220" t="s">
        <v>42</v>
      </c>
      <c r="C793" s="6" t="str">
        <f t="shared" si="146"/>
        <v>PET</v>
      </c>
      <c r="D793" t="s">
        <v>932</v>
      </c>
      <c r="E793">
        <f>$C$634*E248</f>
        <v>0</v>
      </c>
      <c r="F793" t="str">
        <f t="shared" si="150"/>
        <v>MJ</v>
      </c>
      <c r="G793" s="32" t="str">
        <f>$B$634&amp;" * "&amp;D248</f>
        <v>soft_energy * soft_PET_RE_NEW_mass_mechanical</v>
      </c>
      <c r="H793" s="220" t="s">
        <v>42</v>
      </c>
      <c r="I793" s="6" t="str">
        <f t="shared" si="152"/>
        <v>PET</v>
      </c>
      <c r="J793" t="s">
        <v>973</v>
      </c>
      <c r="K793">
        <f t="shared" si="147"/>
        <v>0</v>
      </c>
      <c r="L793" t="str">
        <f t="shared" si="151"/>
        <v>MJ</v>
      </c>
      <c r="M793" t="str">
        <f t="shared" si="148"/>
        <v>soft_PET_SOR_RE_energy_mechanical - soft_PET_RE_NEW_energy_mechanical</v>
      </c>
      <c r="N793" s="19"/>
    </row>
    <row r="794" spans="1:14" ht="15" customHeight="1" x14ac:dyDescent="0.2">
      <c r="A794" s="19"/>
      <c r="B794" s="220"/>
      <c r="C794" s="6" t="str">
        <f t="shared" si="146"/>
        <v>PE</v>
      </c>
      <c r="D794" t="s">
        <v>933</v>
      </c>
      <c r="E794">
        <f>$C$634*E249</f>
        <v>6948.945566639999</v>
      </c>
      <c r="F794" t="str">
        <f t="shared" si="150"/>
        <v>MJ</v>
      </c>
      <c r="G794" s="32" t="str">
        <f>$B$634&amp;" * "&amp;D249</f>
        <v>soft_energy * soft_PE_RE_NEW_mass_mechanical</v>
      </c>
      <c r="H794" s="220"/>
      <c r="I794" s="6" t="str">
        <f t="shared" si="152"/>
        <v>PE</v>
      </c>
      <c r="J794" t="s">
        <v>974</v>
      </c>
      <c r="K794">
        <f t="shared" si="147"/>
        <v>1226.28451176</v>
      </c>
      <c r="L794" t="str">
        <f t="shared" si="151"/>
        <v>MJ</v>
      </c>
      <c r="M794" t="str">
        <f t="shared" si="148"/>
        <v>soft_PE_SOR_RE_energy_mechanical - soft_PE_RE_NEW_energy_mechanical</v>
      </c>
      <c r="N794" s="19"/>
    </row>
    <row r="795" spans="1:14" ht="15" customHeight="1" x14ac:dyDescent="0.2">
      <c r="A795" s="19"/>
      <c r="B795" s="220"/>
      <c r="C795" s="6" t="str">
        <f t="shared" si="146"/>
        <v>PP</v>
      </c>
      <c r="D795" t="s">
        <v>934</v>
      </c>
      <c r="E795">
        <f>$C$634*E250</f>
        <v>0</v>
      </c>
      <c r="F795" t="str">
        <f t="shared" si="150"/>
        <v>MJ</v>
      </c>
      <c r="G795" s="32" t="str">
        <f>$B$634&amp;" * "&amp;D250</f>
        <v>soft_energy * soft_PP_RE_NEW_mass_mechanical</v>
      </c>
      <c r="H795" s="220"/>
      <c r="I795" s="6" t="str">
        <f t="shared" si="152"/>
        <v>PP</v>
      </c>
      <c r="J795" t="s">
        <v>975</v>
      </c>
      <c r="K795">
        <f t="shared" si="147"/>
        <v>0</v>
      </c>
      <c r="L795" t="str">
        <f t="shared" si="151"/>
        <v>MJ</v>
      </c>
      <c r="M795" t="str">
        <f t="shared" si="148"/>
        <v>soft_PP_SOR_RE_energy_mechanical - soft_PP_RE_NEW_energy_mechanical</v>
      </c>
      <c r="N795" s="19"/>
    </row>
    <row r="796" spans="1:14" ht="15" customHeight="1" x14ac:dyDescent="0.2">
      <c r="A796" s="19"/>
      <c r="B796" s="220"/>
      <c r="C796" s="6" t="str">
        <f t="shared" si="146"/>
        <v>PS</v>
      </c>
      <c r="D796" t="s">
        <v>935</v>
      </c>
      <c r="E796">
        <f>$C$634*E251</f>
        <v>0</v>
      </c>
      <c r="F796" t="str">
        <f t="shared" si="150"/>
        <v>MJ</v>
      </c>
      <c r="G796" s="32" t="str">
        <f>$B$634&amp;" * "&amp;D251</f>
        <v>soft_energy * soft_PS_RE_NEW_mass_mechanical</v>
      </c>
      <c r="H796" s="220"/>
      <c r="I796" s="6" t="str">
        <f t="shared" si="152"/>
        <v>PS</v>
      </c>
      <c r="J796" t="s">
        <v>977</v>
      </c>
      <c r="K796">
        <f t="shared" si="147"/>
        <v>0</v>
      </c>
      <c r="L796" t="str">
        <f t="shared" si="151"/>
        <v>MJ</v>
      </c>
      <c r="M796" t="str">
        <f t="shared" si="148"/>
        <v>soft_PS_SOR_RE_energy_mechanical - soft_PS_RE_NEW_energy_mechanical</v>
      </c>
      <c r="N796" s="19"/>
    </row>
    <row r="797" spans="1:14" ht="15" customHeight="1" x14ac:dyDescent="0.2">
      <c r="A797" s="19"/>
      <c r="B797" s="227"/>
      <c r="C797" s="60" t="str">
        <f t="shared" si="146"/>
        <v>Other</v>
      </c>
      <c r="D797" s="44" t="s">
        <v>936</v>
      </c>
      <c r="E797" s="44">
        <f>$C$634*E252</f>
        <v>1511.5050767023201</v>
      </c>
      <c r="F797" s="44" t="str">
        <f t="shared" si="150"/>
        <v>MJ</v>
      </c>
      <c r="G797" s="61" t="str">
        <f>$B$634&amp;" * "&amp;D252</f>
        <v>soft_energy * soft_Oth_RE_NEW_mass_mechanical</v>
      </c>
      <c r="H797" s="220"/>
      <c r="I797" s="6" t="str">
        <f t="shared" si="152"/>
        <v>Other</v>
      </c>
      <c r="J797" t="s">
        <v>976</v>
      </c>
      <c r="K797">
        <f t="shared" si="147"/>
        <v>287.90572889567989</v>
      </c>
      <c r="L797" t="str">
        <f t="shared" si="151"/>
        <v>MJ</v>
      </c>
      <c r="M797" t="str">
        <f t="shared" si="148"/>
        <v>soft_Oth_SOR_RE_energy_mechanical - soft_Oth_RE_NEW_energy_mechanical</v>
      </c>
      <c r="N797" s="19"/>
    </row>
    <row r="798" spans="1:14" ht="25" customHeight="1" x14ac:dyDescent="0.2">
      <c r="A798" s="19"/>
      <c r="B798" s="214" t="s">
        <v>94</v>
      </c>
      <c r="C798" s="214"/>
      <c r="D798" s="214"/>
      <c r="E798" s="214"/>
      <c r="F798" s="214"/>
      <c r="G798" s="214"/>
      <c r="H798" s="214"/>
      <c r="I798" s="214"/>
      <c r="J798" s="214"/>
      <c r="K798" s="214"/>
      <c r="L798" s="214"/>
      <c r="M798" s="214"/>
      <c r="N798" s="19"/>
    </row>
    <row r="799" spans="1:14" ht="15" customHeight="1" x14ac:dyDescent="0.2">
      <c r="A799" s="19"/>
      <c r="B799" s="2" t="str">
        <f>B759</f>
        <v>Parameter</v>
      </c>
      <c r="C799" s="2" t="str">
        <f>C759</f>
        <v>Value</v>
      </c>
      <c r="D799" s="2" t="str">
        <f>D759</f>
        <v>Unit</v>
      </c>
      <c r="E799" s="2" t="str">
        <f>E759</f>
        <v>Description</v>
      </c>
      <c r="F799" s="2"/>
      <c r="G799" s="1"/>
      <c r="H799" s="2" t="str">
        <f>H759</f>
        <v>Parameter</v>
      </c>
      <c r="I799" s="2" t="str">
        <f>I759</f>
        <v>Value</v>
      </c>
      <c r="J799" s="2" t="str">
        <f>J759</f>
        <v>Unit</v>
      </c>
      <c r="K799" s="2" t="str">
        <f>K759</f>
        <v>Description</v>
      </c>
      <c r="L799" s="2"/>
      <c r="M799" s="2"/>
      <c r="N799" s="19"/>
    </row>
    <row r="800" spans="1:14" ht="15" customHeight="1" x14ac:dyDescent="0.2">
      <c r="A800" s="19"/>
      <c r="B800" t="s">
        <v>2858</v>
      </c>
      <c r="C800">
        <f>C776*(E199+E204+E209)</f>
        <v>1745.42526</v>
      </c>
      <c r="D800" t="s">
        <v>2862</v>
      </c>
      <c r="E800" s="2"/>
      <c r="F800" s="2"/>
      <c r="G800" s="4"/>
      <c r="H800" s="2"/>
      <c r="I800" s="2"/>
      <c r="J800" s="2"/>
      <c r="K800" s="2"/>
      <c r="L800" s="2"/>
      <c r="M800" s="2"/>
      <c r="N800" s="19"/>
    </row>
    <row r="801" spans="1:14" ht="15" customHeight="1" x14ac:dyDescent="0.2">
      <c r="A801" s="19"/>
      <c r="B801" t="s">
        <v>2859</v>
      </c>
      <c r="C801">
        <f t="shared" ref="C801:C803" si="153">C777*(E200+E205+E210)</f>
        <v>2770.0992000000001</v>
      </c>
      <c r="D801" t="s">
        <v>2862</v>
      </c>
      <c r="E801" s="2"/>
      <c r="F801" s="2"/>
      <c r="G801" s="4"/>
      <c r="H801" s="2"/>
      <c r="I801" s="2"/>
      <c r="J801" s="2"/>
      <c r="K801" s="2"/>
      <c r="L801" s="2"/>
      <c r="M801" s="2"/>
      <c r="N801" s="19"/>
    </row>
    <row r="802" spans="1:14" ht="15" customHeight="1" x14ac:dyDescent="0.2">
      <c r="A802" s="19"/>
      <c r="B802" t="s">
        <v>2860</v>
      </c>
      <c r="C802">
        <f t="shared" si="153"/>
        <v>381.64139999999992</v>
      </c>
      <c r="D802" t="s">
        <v>2862</v>
      </c>
      <c r="E802" s="2"/>
      <c r="F802" s="2"/>
      <c r="G802" s="4"/>
      <c r="H802" s="2"/>
      <c r="I802" s="2"/>
      <c r="J802" s="2"/>
      <c r="K802" s="2"/>
      <c r="L802" s="2"/>
      <c r="M802" s="2"/>
      <c r="N802" s="19"/>
    </row>
    <row r="803" spans="1:14" ht="15" customHeight="1" x14ac:dyDescent="0.2">
      <c r="A803" s="19"/>
      <c r="B803" t="s">
        <v>2861</v>
      </c>
      <c r="C803">
        <f t="shared" si="153"/>
        <v>45.728496800000002</v>
      </c>
      <c r="D803" t="s">
        <v>2862</v>
      </c>
      <c r="E803" s="2"/>
      <c r="F803" s="2"/>
      <c r="G803" s="4"/>
      <c r="H803" s="2"/>
      <c r="I803" s="2"/>
      <c r="J803" s="2"/>
      <c r="K803" s="2"/>
      <c r="L803" s="2"/>
      <c r="M803" s="2"/>
      <c r="N803" s="19"/>
    </row>
    <row r="804" spans="1:14" ht="15" customHeight="1" x14ac:dyDescent="0.2">
      <c r="A804" s="19"/>
      <c r="B804" t="s">
        <v>937</v>
      </c>
      <c r="C804">
        <f>SUM(E783:E787)</f>
        <v>6349.7217829499996</v>
      </c>
      <c r="D804" t="s">
        <v>2862</v>
      </c>
      <c r="E804" t="s">
        <v>1067</v>
      </c>
      <c r="G804" s="32"/>
      <c r="H804" t="s">
        <v>959</v>
      </c>
      <c r="I804">
        <f>SUM(K783:K787)</f>
        <v>1082.1031420500001</v>
      </c>
      <c r="J804" t="s">
        <v>96</v>
      </c>
      <c r="K804" t="s">
        <v>1073</v>
      </c>
      <c r="N804" s="19"/>
    </row>
    <row r="805" spans="1:14" ht="15" customHeight="1" x14ac:dyDescent="0.2">
      <c r="A805" s="19"/>
      <c r="B805" t="s">
        <v>938</v>
      </c>
      <c r="C805">
        <f>SUM(E788:E792)</f>
        <v>3925.4069529734393</v>
      </c>
      <c r="D805" t="s">
        <v>2862</v>
      </c>
      <c r="E805" t="s">
        <v>1068</v>
      </c>
      <c r="G805" s="32"/>
      <c r="H805" t="s">
        <v>960</v>
      </c>
      <c r="I805">
        <f>SUM(K788:K792)</f>
        <v>750.33492944256011</v>
      </c>
      <c r="J805" t="str">
        <f>J804</f>
        <v>kg C</v>
      </c>
      <c r="K805" t="s">
        <v>1074</v>
      </c>
      <c r="N805" s="19"/>
    </row>
    <row r="806" spans="1:14" ht="15" customHeight="1" thickBot="1" x14ac:dyDescent="0.25">
      <c r="A806" s="19"/>
      <c r="B806" s="8" t="s">
        <v>939</v>
      </c>
      <c r="C806" s="8">
        <f>SUM(E793:E797)</f>
        <v>8460.4506433423194</v>
      </c>
      <c r="D806" s="8" t="s">
        <v>2862</v>
      </c>
      <c r="E806" s="8" t="s">
        <v>1069</v>
      </c>
      <c r="F806" s="8"/>
      <c r="G806" s="87"/>
      <c r="H806" s="8" t="s">
        <v>961</v>
      </c>
      <c r="I806" s="8">
        <f>SUM(K793:K797)</f>
        <v>1514.1902406556799</v>
      </c>
      <c r="J806" s="8" t="str">
        <f>J805</f>
        <v>kg C</v>
      </c>
      <c r="K806" s="8" t="s">
        <v>1075</v>
      </c>
      <c r="L806" s="8"/>
      <c r="M806" s="8"/>
      <c r="N806" s="19"/>
    </row>
    <row r="807" spans="1:14" ht="15" customHeight="1" thickTop="1" x14ac:dyDescent="0.2">
      <c r="A807" s="19"/>
      <c r="B807" s="44" t="s">
        <v>940</v>
      </c>
      <c r="C807" s="44">
        <f>SUM(C804:C806)</f>
        <v>18735.579379265757</v>
      </c>
      <c r="D807" s="44" t="str">
        <f>D806</f>
        <v xml:space="preserve">MJ </v>
      </c>
      <c r="E807" s="44" t="s">
        <v>1080</v>
      </c>
      <c r="F807" s="44"/>
      <c r="G807" s="61"/>
      <c r="H807" s="44" t="s">
        <v>962</v>
      </c>
      <c r="I807" s="44">
        <f>SUM(I804:I806)</f>
        <v>3346.6283121482402</v>
      </c>
      <c r="J807" s="44" t="str">
        <f>J806</f>
        <v>kg C</v>
      </c>
      <c r="K807" s="44" t="s">
        <v>1081</v>
      </c>
      <c r="L807" s="44"/>
      <c r="M807" s="44"/>
      <c r="N807" s="19"/>
    </row>
    <row r="808" spans="1:14" ht="15" customHeight="1" x14ac:dyDescent="0.2">
      <c r="A808" s="19"/>
      <c r="B808" s="125" t="s">
        <v>2704</v>
      </c>
      <c r="C808" s="125" t="str">
        <f>IF(C807+I807=C767,"true")</f>
        <v>true</v>
      </c>
      <c r="D808" s="125"/>
      <c r="E808" s="125"/>
      <c r="F808" s="125"/>
      <c r="G808" s="125"/>
      <c r="H808" s="125"/>
      <c r="I808" s="125"/>
      <c r="J808" s="125"/>
      <c r="K808" s="125"/>
      <c r="L808" s="125"/>
      <c r="M808" s="125"/>
      <c r="N808" s="19"/>
    </row>
    <row r="809" spans="1:14" ht="15" customHeight="1" x14ac:dyDescent="0.2">
      <c r="A809" s="19"/>
      <c r="B809" s="19"/>
      <c r="C809" s="19"/>
      <c r="D809" s="19"/>
      <c r="E809" s="19"/>
      <c r="F809" s="19"/>
      <c r="G809" s="19"/>
      <c r="H809" s="19"/>
      <c r="I809" s="19"/>
      <c r="J809" s="19"/>
      <c r="K809" s="19"/>
      <c r="L809" s="19"/>
      <c r="M809" s="19"/>
      <c r="N809" s="19"/>
    </row>
    <row r="810" spans="1:14" ht="15" customHeight="1" x14ac:dyDescent="0.2">
      <c r="A810" s="19"/>
      <c r="B810" s="19"/>
      <c r="C810" s="19"/>
      <c r="D810" s="19"/>
      <c r="E810" s="19"/>
      <c r="F810" s="19"/>
      <c r="G810" s="19"/>
      <c r="H810" s="19"/>
      <c r="I810" s="19"/>
      <c r="J810" s="19"/>
      <c r="K810" s="19"/>
      <c r="L810" s="19"/>
      <c r="M810" s="19"/>
      <c r="N810" s="19"/>
    </row>
    <row r="811" spans="1:14" ht="15" customHeight="1" x14ac:dyDescent="0.2">
      <c r="A811" s="19"/>
      <c r="B811" s="19"/>
      <c r="C811" s="19"/>
      <c r="D811" s="19"/>
      <c r="E811" s="19"/>
      <c r="F811" s="19"/>
      <c r="G811" s="19"/>
      <c r="H811" s="19"/>
      <c r="I811" s="19"/>
      <c r="J811" s="19"/>
      <c r="K811" s="19"/>
      <c r="L811" s="19"/>
      <c r="M811" s="19"/>
      <c r="N811" s="19"/>
    </row>
    <row r="812" spans="1:14" ht="25" customHeight="1" x14ac:dyDescent="0.2">
      <c r="A812" s="19"/>
      <c r="B812" s="214" t="s">
        <v>117</v>
      </c>
      <c r="C812" s="214"/>
      <c r="D812" s="214"/>
      <c r="E812" s="214"/>
      <c r="F812" s="214"/>
      <c r="G812" s="214"/>
      <c r="H812" s="214"/>
      <c r="I812" s="214"/>
      <c r="J812" s="214"/>
      <c r="K812" s="214"/>
      <c r="L812" s="214"/>
      <c r="M812" s="214"/>
      <c r="N812" s="19"/>
    </row>
    <row r="813" spans="1:14" ht="15" customHeight="1" x14ac:dyDescent="0.2">
      <c r="A813" s="19"/>
      <c r="B813" s="118" t="str">
        <f t="shared" ref="B813:G813" si="154">B371</f>
        <v>Parameters</v>
      </c>
      <c r="C813" s="118" t="str">
        <f t="shared" si="154"/>
        <v>Value</v>
      </c>
      <c r="D813" s="118" t="str">
        <f t="shared" si="154"/>
        <v>Unit</v>
      </c>
      <c r="E813" s="118" t="str">
        <f t="shared" si="154"/>
        <v>Min</v>
      </c>
      <c r="F813" s="118" t="str">
        <f t="shared" si="154"/>
        <v>Max</v>
      </c>
      <c r="G813" s="118" t="str">
        <f t="shared" si="154"/>
        <v>Description</v>
      </c>
      <c r="H813" s="118" t="s">
        <v>112</v>
      </c>
      <c r="I813" s="119"/>
      <c r="J813" s="119"/>
      <c r="K813" s="119"/>
      <c r="L813" s="119"/>
      <c r="M813" s="119"/>
      <c r="N813" s="19"/>
    </row>
    <row r="814" spans="1:14" ht="15" customHeight="1" x14ac:dyDescent="0.2">
      <c r="A814" s="19"/>
      <c r="B814" s="120" t="str">
        <f>'info, structure, parameters'!A189</f>
        <v>TC_electricity_recovery_energy</v>
      </c>
      <c r="C814" s="183">
        <f>'info, structure, parameters'!B189</f>
        <v>0.26</v>
      </c>
      <c r="D814" s="183" t="str">
        <f>'info, structure, parameters'!C189</f>
        <v>% of LHV</v>
      </c>
      <c r="E814" s="183">
        <f>'info, structure, parameters'!D189</f>
        <v>0.26</v>
      </c>
      <c r="F814" s="183">
        <f>'info, structure, parameters'!E189</f>
        <v>0.26</v>
      </c>
      <c r="G814" s="183" t="str">
        <f>'info, structure, parameters'!F189</f>
        <v>Amount of energy in the electricity recovered from the incineration</v>
      </c>
      <c r="H814" s="182">
        <f>'info, structure, parameters'!G189</f>
        <v>4</v>
      </c>
      <c r="I814" s="119"/>
      <c r="J814" s="119"/>
      <c r="K814" s="119"/>
      <c r="L814" s="119"/>
      <c r="M814" s="119"/>
      <c r="N814" s="19"/>
    </row>
    <row r="815" spans="1:14" ht="15" customHeight="1" x14ac:dyDescent="0.2">
      <c r="A815" s="19"/>
      <c r="B815" s="120" t="str">
        <f>'info, structure, parameters'!A190</f>
        <v>TC_heat_recovery_turbine_energy</v>
      </c>
      <c r="C815" s="183">
        <f>'info, structure, parameters'!B190</f>
        <v>0.62</v>
      </c>
      <c r="D815" s="183" t="str">
        <f>'info, structure, parameters'!C190</f>
        <v>% of LHV</v>
      </c>
      <c r="E815" s="183">
        <f>'info, structure, parameters'!D190</f>
        <v>0.62</v>
      </c>
      <c r="F815" s="183">
        <f>'info, structure, parameters'!E190</f>
        <v>0.62</v>
      </c>
      <c r="G815" s="183" t="str">
        <f>'info, structure, parameters'!F190</f>
        <v>Amount of energy in the heat recovered from the incineration</v>
      </c>
      <c r="H815" s="182">
        <f>'info, structure, parameters'!G190</f>
        <v>4</v>
      </c>
      <c r="I815" s="119"/>
      <c r="J815" s="119"/>
      <c r="K815" s="119"/>
      <c r="L815" s="119"/>
      <c r="M815" s="119"/>
      <c r="N815" s="19"/>
    </row>
    <row r="816" spans="1:14" ht="15" customHeight="1" x14ac:dyDescent="0.2">
      <c r="A816" s="19"/>
      <c r="B816" s="120" t="str">
        <f>'info, structure, parameters'!A191</f>
        <v>TC_heat_recovery_condensation_energy</v>
      </c>
      <c r="C816" s="183">
        <f>'info, structure, parameters'!B191</f>
        <v>0.12</v>
      </c>
      <c r="D816" s="183" t="str">
        <f>'info, structure, parameters'!C191</f>
        <v>% of LHV</v>
      </c>
      <c r="E816" s="183">
        <f>'info, structure, parameters'!D191</f>
        <v>0.12</v>
      </c>
      <c r="F816" s="183">
        <f>'info, structure, parameters'!E191</f>
        <v>0.12</v>
      </c>
      <c r="G816" s="183" t="str">
        <f>'info, structure, parameters'!F191</f>
        <v>Amount of energy recovered during flue gas condensation as a percentage of the lower heating value of the waste incincerated</v>
      </c>
      <c r="H816" s="182">
        <f>'info, structure, parameters'!G191</f>
        <v>4</v>
      </c>
      <c r="I816" s="119"/>
      <c r="J816" s="119"/>
      <c r="K816" s="119"/>
      <c r="L816" s="119"/>
      <c r="M816" s="119"/>
      <c r="N816" s="19"/>
    </row>
    <row r="817" spans="1:14" ht="15" customHeight="1" x14ac:dyDescent="0.2">
      <c r="A817" s="19"/>
      <c r="B817" s="120" t="str">
        <f>'info, structure, parameters'!A192</f>
        <v>TC_electricity_factor_CC</v>
      </c>
      <c r="C817" s="183">
        <f>'info, structure, parameters'!B192</f>
        <v>0.5</v>
      </c>
      <c r="D817" s="183" t="str">
        <f>'info, structure, parameters'!C192</f>
        <v>%</v>
      </c>
      <c r="E817" s="183">
        <f>'info, structure, parameters'!D192</f>
        <v>0.5</v>
      </c>
      <c r="F817" s="183">
        <f>'info, structure, parameters'!E192</f>
        <v>0.5</v>
      </c>
      <c r="G817" s="183" t="str">
        <f>'info, structure, parameters'!F192</f>
        <v>Conversion rate between amount of electricity recovered in incineration process with and without carbon capture</v>
      </c>
      <c r="H817" s="182">
        <f>'info, structure, parameters'!G192</f>
        <v>4</v>
      </c>
      <c r="I817" s="119"/>
      <c r="J817" s="119"/>
      <c r="K817" s="119"/>
      <c r="L817" s="119"/>
      <c r="M817" s="119"/>
      <c r="N817" s="19"/>
    </row>
    <row r="818" spans="1:14" ht="15" customHeight="1" x14ac:dyDescent="0.2">
      <c r="A818" s="19"/>
      <c r="B818" s="120" t="str">
        <f>'info, structure, parameters'!A193</f>
        <v>TC_ heat_factor_CC</v>
      </c>
      <c r="C818" s="183">
        <f>'info, structure, parameters'!B193</f>
        <v>1.2</v>
      </c>
      <c r="D818" s="183" t="str">
        <f>'info, structure, parameters'!C193</f>
        <v>%</v>
      </c>
      <c r="E818" s="183">
        <f>'info, structure, parameters'!D193</f>
        <v>1.2</v>
      </c>
      <c r="F818" s="183">
        <f>'info, structure, parameters'!E193</f>
        <v>1.2</v>
      </c>
      <c r="G818" s="183" t="str">
        <f>'info, structure, parameters'!F193</f>
        <v>Conversion rate between amount of heat recovered in incineration process with and without carbon capture</v>
      </c>
      <c r="H818" s="182">
        <f>'info, structure, parameters'!G193</f>
        <v>4</v>
      </c>
      <c r="I818" s="119"/>
      <c r="J818" s="119"/>
      <c r="K818" s="119"/>
      <c r="L818" s="119"/>
      <c r="M818" s="119"/>
      <c r="N818" s="19"/>
    </row>
    <row r="819" spans="1:14" ht="15" customHeight="1" x14ac:dyDescent="0.2">
      <c r="A819" s="19"/>
      <c r="B819" s="120" t="str">
        <f>'info, structure, parameters'!A257</f>
        <v>INC_energy_incineration</v>
      </c>
      <c r="C819" s="120">
        <f>'info, structure, parameters'!B257</f>
        <v>0.36000000000000004</v>
      </c>
      <c r="D819" s="120" t="str">
        <f>'info, structure, parameters'!C257</f>
        <v>MJ/kg MPW</v>
      </c>
      <c r="E819" s="120">
        <f>'info, structure, parameters'!D257</f>
        <v>0.36000000000000004</v>
      </c>
      <c r="F819" s="120">
        <f>'info, structure, parameters'!E257</f>
        <v>0.36000000000000004</v>
      </c>
      <c r="G819" s="120" t="str">
        <f>'info, structure, parameters'!F257</f>
        <v xml:space="preserve">Amount of energy inputted during incineration of 1 kg of plastic (without carbon capture) </v>
      </c>
      <c r="H819" s="121">
        <f>'info, structure, parameters'!G257</f>
        <v>4</v>
      </c>
      <c r="I819" s="119"/>
      <c r="J819" s="119"/>
      <c r="K819" s="119"/>
      <c r="L819" s="119"/>
      <c r="M819" s="119"/>
      <c r="N819" s="19"/>
    </row>
    <row r="820" spans="1:14" ht="15" customHeight="1" x14ac:dyDescent="0.2">
      <c r="A820" s="19"/>
      <c r="B820" s="120" t="str">
        <f>'info, structure, parameters'!A258</f>
        <v>CC_energy_incineration</v>
      </c>
      <c r="C820" s="120">
        <f>'info, structure, parameters'!B258</f>
        <v>0.59399999999999997</v>
      </c>
      <c r="D820" s="120" t="str">
        <f>'info, structure, parameters'!C258</f>
        <v>MJ/kg MPW</v>
      </c>
      <c r="E820" s="120">
        <f>'info, structure, parameters'!D258</f>
        <v>0.59399999999999997</v>
      </c>
      <c r="F820" s="120">
        <f>'info, structure, parameters'!E258</f>
        <v>0.59399999999999997</v>
      </c>
      <c r="G820" s="120" t="str">
        <f>'info, structure, parameters'!F258</f>
        <v xml:space="preserve">Amount of energy inputted during incineration of 1 kg of plastic (with carbon capture) </v>
      </c>
      <c r="H820" s="121">
        <f>'info, structure, parameters'!G258</f>
        <v>4</v>
      </c>
      <c r="I820" s="119"/>
      <c r="J820" s="119"/>
      <c r="K820" s="119"/>
      <c r="L820" s="119"/>
      <c r="M820" s="119"/>
      <c r="N820" s="19"/>
    </row>
    <row r="821" spans="1:14" ht="25" customHeight="1" x14ac:dyDescent="0.2">
      <c r="A821" s="19"/>
      <c r="B821" s="214" t="s">
        <v>135</v>
      </c>
      <c r="C821" s="214"/>
      <c r="D821" s="214"/>
      <c r="E821" s="214"/>
      <c r="F821" s="214"/>
      <c r="G821" s="214"/>
      <c r="H821" s="29"/>
      <c r="I821" s="29"/>
      <c r="J821" s="29"/>
      <c r="K821" s="29"/>
      <c r="L821" s="29"/>
      <c r="M821" s="29"/>
      <c r="N821" s="19"/>
    </row>
    <row r="822" spans="1:14" ht="15" customHeight="1" x14ac:dyDescent="0.2">
      <c r="A822" s="19"/>
      <c r="B822" s="2" t="s">
        <v>21</v>
      </c>
      <c r="C822" s="2" t="s">
        <v>20</v>
      </c>
      <c r="D822" s="2" t="s">
        <v>99</v>
      </c>
      <c r="E822" s="2" t="s">
        <v>3</v>
      </c>
      <c r="F822" s="2" t="s">
        <v>4</v>
      </c>
      <c r="G822" s="2" t="s">
        <v>43</v>
      </c>
      <c r="H822" s="2"/>
      <c r="I822" s="2"/>
      <c r="J822" s="2"/>
      <c r="K822" s="2"/>
      <c r="L822" s="2"/>
      <c r="M822" s="2"/>
      <c r="N822" s="19"/>
    </row>
    <row r="823" spans="1:14" ht="15" customHeight="1" x14ac:dyDescent="0.2">
      <c r="A823" s="19"/>
      <c r="B823" s="220" t="s">
        <v>14</v>
      </c>
      <c r="C823" s="6" t="str">
        <f t="shared" ref="C823:C842" si="155">C639</f>
        <v>PET</v>
      </c>
      <c r="D823" t="s">
        <v>978</v>
      </c>
      <c r="E823" s="33">
        <f t="shared" ref="E823:E837" si="156">K639+K674+K743+K783</f>
        <v>2858.1932024100006</v>
      </c>
      <c r="F823" t="s">
        <v>121</v>
      </c>
      <c r="G823" t="str">
        <f>$B$632&amp;" * "&amp;D275</f>
        <v>bottle_energy * bottle_PET_INC_tot_mass_mechanical</v>
      </c>
      <c r="H823" s="66"/>
      <c r="I823" s="6"/>
      <c r="N823" s="19"/>
    </row>
    <row r="824" spans="1:14" ht="15" customHeight="1" x14ac:dyDescent="0.2">
      <c r="A824" s="19"/>
      <c r="B824" s="220"/>
      <c r="C824" s="6" t="str">
        <f t="shared" si="155"/>
        <v>PE</v>
      </c>
      <c r="D824" t="s">
        <v>979</v>
      </c>
      <c r="E824" s="33">
        <f t="shared" si="156"/>
        <v>603.07501463999961</v>
      </c>
      <c r="F824" t="str">
        <f>F823</f>
        <v>MJ</v>
      </c>
      <c r="G824" t="str">
        <f>$B$632&amp;" * "&amp;D276</f>
        <v>bottle_energy * bottle_PE_INC_tot_mass_mechanical</v>
      </c>
      <c r="H824" s="66"/>
      <c r="I824" s="6"/>
      <c r="N824" s="19"/>
    </row>
    <row r="825" spans="1:14" ht="15" customHeight="1" x14ac:dyDescent="0.2">
      <c r="A825" s="19"/>
      <c r="B825" s="220"/>
      <c r="C825" s="6" t="str">
        <f t="shared" si="155"/>
        <v>PP</v>
      </c>
      <c r="D825" t="s">
        <v>980</v>
      </c>
      <c r="E825" s="33">
        <f t="shared" si="156"/>
        <v>0</v>
      </c>
      <c r="F825" t="str">
        <f t="shared" ref="F825:F842" si="157">F824</f>
        <v>MJ</v>
      </c>
      <c r="G825" t="str">
        <f>$B$632&amp;" * "&amp;D277</f>
        <v>bottle_energy * bottle_PP_INC_tot_mass_mechanical</v>
      </c>
      <c r="H825" s="66"/>
      <c r="I825" s="6"/>
      <c r="N825" s="19"/>
    </row>
    <row r="826" spans="1:14" ht="15" customHeight="1" x14ac:dyDescent="0.2">
      <c r="A826" s="18"/>
      <c r="B826" s="220"/>
      <c r="C826" s="6" t="str">
        <f t="shared" si="155"/>
        <v>PS</v>
      </c>
      <c r="D826" t="s">
        <v>981</v>
      </c>
      <c r="E826" s="33">
        <f t="shared" si="156"/>
        <v>0</v>
      </c>
      <c r="F826" t="str">
        <f>F825</f>
        <v>MJ</v>
      </c>
      <c r="G826" t="str">
        <f>$B$632&amp;" * "&amp;D278</f>
        <v>bottle_energy * bottle_PS_INC_tot_mass_mechanical</v>
      </c>
      <c r="H826" s="66"/>
      <c r="I826" s="6"/>
      <c r="N826" s="19"/>
    </row>
    <row r="827" spans="1:14" ht="15" customHeight="1" x14ac:dyDescent="0.2">
      <c r="A827" s="19"/>
      <c r="B827" s="220"/>
      <c r="C827" s="6" t="str">
        <f t="shared" si="155"/>
        <v>Other</v>
      </c>
      <c r="D827" t="s">
        <v>982</v>
      </c>
      <c r="E827" s="33">
        <f t="shared" si="156"/>
        <v>0</v>
      </c>
      <c r="F827" t="str">
        <f t="shared" si="157"/>
        <v>MJ</v>
      </c>
      <c r="G827" t="str">
        <f>$B$632&amp;" * "&amp;D279</f>
        <v>bottle_energy * bottle_oth_INC_tot_mass_mechanical</v>
      </c>
      <c r="H827" s="66"/>
      <c r="I827" s="6"/>
      <c r="N827" s="18"/>
    </row>
    <row r="828" spans="1:14" ht="15" customHeight="1" x14ac:dyDescent="0.2">
      <c r="A828" s="19"/>
      <c r="B828" s="220" t="s">
        <v>15</v>
      </c>
      <c r="C828" s="6" t="str">
        <f t="shared" si="155"/>
        <v>PET</v>
      </c>
      <c r="D828" t="s">
        <v>983</v>
      </c>
      <c r="E828" s="33">
        <f t="shared" si="156"/>
        <v>550.42129084800001</v>
      </c>
      <c r="F828" t="str">
        <f t="shared" si="157"/>
        <v>MJ</v>
      </c>
      <c r="G828" t="str">
        <f>$B$633&amp;" * "&amp;D280</f>
        <v>rigid_energy * rigid_PET_INC_tot_mass_mechanical</v>
      </c>
      <c r="H828" s="66"/>
      <c r="I828" s="6"/>
      <c r="N828" s="19"/>
    </row>
    <row r="829" spans="1:14" ht="15" customHeight="1" x14ac:dyDescent="0.2">
      <c r="A829" s="19"/>
      <c r="B829" s="220"/>
      <c r="C829" s="6" t="str">
        <f t="shared" si="155"/>
        <v>PE</v>
      </c>
      <c r="D829" t="s">
        <v>984</v>
      </c>
      <c r="E829" s="33">
        <f t="shared" si="156"/>
        <v>355.03107551999983</v>
      </c>
      <c r="F829" t="str">
        <f>F828</f>
        <v>MJ</v>
      </c>
      <c r="G829" t="str">
        <f>$B$633&amp;" * "&amp;D281</f>
        <v>rigid_energy * rigid_PE_INC_tot_mass_mechanical</v>
      </c>
      <c r="H829" s="66"/>
      <c r="I829" s="6"/>
      <c r="N829" s="19"/>
    </row>
    <row r="830" spans="1:14" ht="15" customHeight="1" x14ac:dyDescent="0.2">
      <c r="A830" s="19"/>
      <c r="B830" s="220"/>
      <c r="C830" s="6" t="str">
        <f t="shared" si="155"/>
        <v>PP</v>
      </c>
      <c r="D830" t="s">
        <v>985</v>
      </c>
      <c r="E830" s="33">
        <f t="shared" si="156"/>
        <v>1193.4316732799998</v>
      </c>
      <c r="F830" t="str">
        <f t="shared" si="157"/>
        <v>MJ</v>
      </c>
      <c r="G830" t="str">
        <f>$B$633&amp;" * "&amp;D282</f>
        <v>rigid_energy * rigid_PP_INC_tot_mass_mechanical</v>
      </c>
      <c r="H830" s="66"/>
      <c r="I830" s="6"/>
      <c r="N830" s="19"/>
    </row>
    <row r="831" spans="1:14" ht="15" customHeight="1" x14ac:dyDescent="0.2">
      <c r="A831" s="19"/>
      <c r="B831" s="220"/>
      <c r="C831" s="6" t="str">
        <f t="shared" si="155"/>
        <v>PS</v>
      </c>
      <c r="D831" t="s">
        <v>986</v>
      </c>
      <c r="E831" s="33">
        <f t="shared" si="156"/>
        <v>203.04750122975997</v>
      </c>
      <c r="F831" t="str">
        <f t="shared" si="157"/>
        <v>MJ</v>
      </c>
      <c r="G831" t="str">
        <f>$B$633&amp;" * "&amp;D283</f>
        <v>rigid_energy * rigid_PS_INC_tot_mass_mechanical</v>
      </c>
      <c r="H831" s="66"/>
      <c r="I831" s="6"/>
      <c r="N831" s="19"/>
    </row>
    <row r="832" spans="1:14" ht="15" customHeight="1" x14ac:dyDescent="0.2">
      <c r="A832" s="19"/>
      <c r="B832" s="220"/>
      <c r="C832" s="6" t="str">
        <f t="shared" si="155"/>
        <v>Other</v>
      </c>
      <c r="D832" t="s">
        <v>987</v>
      </c>
      <c r="E832" s="33">
        <f t="shared" si="156"/>
        <v>1015.2375061487996</v>
      </c>
      <c r="F832" t="str">
        <f t="shared" si="157"/>
        <v>MJ</v>
      </c>
      <c r="G832" t="str">
        <f>$B$633&amp;" * "&amp;D284</f>
        <v>rigid_energy * rigid_Oth_INC_tot_mass_mechanical</v>
      </c>
      <c r="H832" s="66"/>
      <c r="I832" s="6"/>
      <c r="N832" s="19"/>
    </row>
    <row r="833" spans="1:14" ht="15" customHeight="1" x14ac:dyDescent="0.2">
      <c r="A833" s="19"/>
      <c r="B833" s="220" t="s">
        <v>42</v>
      </c>
      <c r="C833" s="6" t="str">
        <f t="shared" si="155"/>
        <v>PET</v>
      </c>
      <c r="D833" t="s">
        <v>988</v>
      </c>
      <c r="E833" s="33">
        <f t="shared" si="156"/>
        <v>0</v>
      </c>
      <c r="F833" t="str">
        <f t="shared" si="157"/>
        <v>MJ</v>
      </c>
      <c r="G833" t="str">
        <f>$B$634&amp;" * "&amp;D285</f>
        <v>soft_energy * soft_PET_INC_tot_mass_mechanical</v>
      </c>
      <c r="H833" s="66"/>
      <c r="I833" s="6"/>
      <c r="N833" s="19"/>
    </row>
    <row r="834" spans="1:14" ht="15" customHeight="1" x14ac:dyDescent="0.2">
      <c r="A834" s="19"/>
      <c r="B834" s="220"/>
      <c r="C834" s="6" t="str">
        <f t="shared" si="155"/>
        <v>PE</v>
      </c>
      <c r="D834" t="s">
        <v>989</v>
      </c>
      <c r="E834" s="33">
        <f t="shared" si="156"/>
        <v>3373.3146333599998</v>
      </c>
      <c r="F834" t="str">
        <f t="shared" si="157"/>
        <v>MJ</v>
      </c>
      <c r="G834" t="str">
        <f>$B$634&amp;" * "&amp;D286</f>
        <v>soft_energy * soft_PE_INC_tot_mass_mechanical</v>
      </c>
      <c r="H834" s="66"/>
      <c r="I834" s="6"/>
      <c r="N834" s="19"/>
    </row>
    <row r="835" spans="1:14" ht="15" customHeight="1" x14ac:dyDescent="0.2">
      <c r="A835" s="19"/>
      <c r="B835" s="220"/>
      <c r="C835" s="6" t="str">
        <f t="shared" si="155"/>
        <v>PP</v>
      </c>
      <c r="D835" t="s">
        <v>990</v>
      </c>
      <c r="E835" s="33">
        <f t="shared" si="156"/>
        <v>0</v>
      </c>
      <c r="F835" t="str">
        <f t="shared" si="157"/>
        <v>MJ</v>
      </c>
      <c r="G835" t="str">
        <f>$B$634&amp;" * "&amp;D287</f>
        <v>soft_energy * soft_PP_INC_tot_mass_mechanical</v>
      </c>
      <c r="H835" s="66"/>
      <c r="I835" s="6"/>
      <c r="N835" s="19"/>
    </row>
    <row r="836" spans="1:14" ht="15" customHeight="1" x14ac:dyDescent="0.2">
      <c r="A836" s="19"/>
      <c r="B836" s="220"/>
      <c r="C836" s="6" t="str">
        <f t="shared" si="155"/>
        <v>PS</v>
      </c>
      <c r="D836" t="s">
        <v>991</v>
      </c>
      <c r="E836" s="33">
        <f t="shared" si="156"/>
        <v>0</v>
      </c>
      <c r="F836" t="str">
        <f t="shared" si="157"/>
        <v>MJ</v>
      </c>
      <c r="G836" t="str">
        <f>$B$634&amp;" * "&amp;D288</f>
        <v>soft_energy * soft_PS_INC_tot_mass_mechanical</v>
      </c>
      <c r="H836" s="66"/>
      <c r="I836" s="6"/>
      <c r="N836" s="19"/>
    </row>
    <row r="837" spans="1:14" ht="15" customHeight="1" x14ac:dyDescent="0.2">
      <c r="A837" s="18"/>
      <c r="B837" s="220"/>
      <c r="C837" s="6" t="str">
        <f t="shared" si="155"/>
        <v>Other</v>
      </c>
      <c r="D837" t="s">
        <v>992</v>
      </c>
      <c r="E837" s="33">
        <f t="shared" si="156"/>
        <v>1929.2483232976808</v>
      </c>
      <c r="F837" t="str">
        <f t="shared" si="157"/>
        <v>MJ</v>
      </c>
      <c r="G837" t="str">
        <f>$B$634&amp;" * "&amp;D289</f>
        <v>soft_energy * soft_Oth_INC_tot_mass_mechanical</v>
      </c>
      <c r="H837" s="66"/>
      <c r="I837" s="6"/>
      <c r="N837" s="19"/>
    </row>
    <row r="838" spans="1:14" ht="15" customHeight="1" x14ac:dyDescent="0.2">
      <c r="A838" s="19"/>
      <c r="B838" s="220" t="s">
        <v>19</v>
      </c>
      <c r="C838" s="6" t="str">
        <f t="shared" si="155"/>
        <v>PET</v>
      </c>
      <c r="D838" t="s">
        <v>988</v>
      </c>
      <c r="E838" s="33">
        <f>K654</f>
        <v>0</v>
      </c>
      <c r="F838" t="str">
        <f t="shared" si="157"/>
        <v>MJ</v>
      </c>
      <c r="G838" t="str">
        <f>$B$635&amp;" * "&amp;D290</f>
        <v>nonrec_energy * other_PET_INC_tot_mass_mechanical</v>
      </c>
      <c r="H838" s="66"/>
      <c r="I838" s="6"/>
      <c r="N838" s="18"/>
    </row>
    <row r="839" spans="1:14" ht="15" customHeight="1" x14ac:dyDescent="0.2">
      <c r="A839" s="19"/>
      <c r="B839" s="220"/>
      <c r="C839" s="6" t="str">
        <f t="shared" si="155"/>
        <v>PE</v>
      </c>
      <c r="D839" t="s">
        <v>989</v>
      </c>
      <c r="E839" s="33">
        <f>K655</f>
        <v>0</v>
      </c>
      <c r="F839" t="str">
        <f t="shared" si="157"/>
        <v>MJ</v>
      </c>
      <c r="G839" t="str">
        <f>$B$635&amp;" * "&amp;D291</f>
        <v>nonrec_energy * other_PE_INC_tot_mass_mechanical</v>
      </c>
      <c r="H839" s="66"/>
      <c r="I839" s="6"/>
      <c r="N839" s="19"/>
    </row>
    <row r="840" spans="1:14" ht="15" customHeight="1" x14ac:dyDescent="0.2">
      <c r="A840" s="19"/>
      <c r="B840" s="220"/>
      <c r="C840" s="6" t="str">
        <f t="shared" si="155"/>
        <v>PP</v>
      </c>
      <c r="D840" t="s">
        <v>990</v>
      </c>
      <c r="E840" s="33">
        <f>K656</f>
        <v>0</v>
      </c>
      <c r="F840" t="str">
        <f t="shared" si="157"/>
        <v>MJ</v>
      </c>
      <c r="G840" t="str">
        <f>$B$635&amp;" * "&amp;D292</f>
        <v>nonrec_energy * other_PP_INC_tot_mass_mechanical</v>
      </c>
      <c r="H840" s="66"/>
      <c r="I840" s="6"/>
      <c r="N840" s="19"/>
    </row>
    <row r="841" spans="1:14" ht="15" customHeight="1" x14ac:dyDescent="0.2">
      <c r="A841" s="19"/>
      <c r="B841" s="220"/>
      <c r="C841" s="6" t="str">
        <f t="shared" si="155"/>
        <v>PS</v>
      </c>
      <c r="D841" t="s">
        <v>991</v>
      </c>
      <c r="E841" s="33">
        <f>K657</f>
        <v>0</v>
      </c>
      <c r="F841" t="str">
        <f t="shared" si="157"/>
        <v>MJ</v>
      </c>
      <c r="G841" t="str">
        <f>$B$635&amp;" * "&amp;D293</f>
        <v>nonrec_energy * other_PS_INC_tot_mass_mechanical</v>
      </c>
      <c r="H841" s="66"/>
      <c r="I841" s="6"/>
      <c r="N841" s="19"/>
    </row>
    <row r="842" spans="1:14" ht="15" customHeight="1" x14ac:dyDescent="0.2">
      <c r="A842" s="19"/>
      <c r="B842" s="220"/>
      <c r="C842" s="6" t="str">
        <f t="shared" si="155"/>
        <v>Other</v>
      </c>
      <c r="D842" t="s">
        <v>992</v>
      </c>
      <c r="E842" s="33">
        <f>K658</f>
        <v>0</v>
      </c>
      <c r="F842" t="str">
        <f t="shared" si="157"/>
        <v>MJ</v>
      </c>
      <c r="G842" t="str">
        <f>$B$635&amp;" * "&amp;D294</f>
        <v>nonrec_energy * other_Oth_INC_tot_mass_mechanical</v>
      </c>
      <c r="H842" s="66"/>
      <c r="I842" s="6"/>
      <c r="N842" s="19"/>
    </row>
    <row r="843" spans="1:14" ht="15" customHeight="1" x14ac:dyDescent="0.2">
      <c r="A843" s="19"/>
      <c r="B843" s="72" t="s">
        <v>202</v>
      </c>
      <c r="C843" s="6"/>
      <c r="E843" s="33">
        <f>SUM(E823:E842)</f>
        <v>12081.00022073424</v>
      </c>
      <c r="F843" t="s">
        <v>121</v>
      </c>
      <c r="H843" s="66"/>
      <c r="I843" s="6"/>
      <c r="N843" s="19"/>
    </row>
    <row r="844" spans="1:14" ht="25" customHeight="1" x14ac:dyDescent="0.2">
      <c r="A844" s="19"/>
      <c r="B844" s="214" t="s">
        <v>127</v>
      </c>
      <c r="C844" s="214"/>
      <c r="D844" s="214"/>
      <c r="E844" s="214"/>
      <c r="F844" s="214"/>
      <c r="G844" s="214"/>
      <c r="H844" s="214"/>
      <c r="I844" s="214"/>
      <c r="J844" s="214"/>
      <c r="K844" s="214"/>
      <c r="L844" s="214"/>
      <c r="M844" s="214"/>
      <c r="N844" s="19"/>
    </row>
    <row r="845" spans="1:14" ht="25" customHeight="1" x14ac:dyDescent="0.2">
      <c r="A845" s="19"/>
      <c r="B845" s="214" t="s">
        <v>201</v>
      </c>
      <c r="C845" s="214"/>
      <c r="D845" s="214"/>
      <c r="E845" s="214"/>
      <c r="F845" s="214"/>
      <c r="G845" s="223"/>
      <c r="H845" s="214" t="s">
        <v>197</v>
      </c>
      <c r="I845" s="214"/>
      <c r="J845" s="214"/>
      <c r="K845" s="214"/>
      <c r="L845" s="214"/>
      <c r="M845" s="214"/>
      <c r="N845" s="19"/>
    </row>
    <row r="846" spans="1:14" ht="15" customHeight="1" x14ac:dyDescent="0.2">
      <c r="A846" s="19"/>
      <c r="B846" s="2" t="s">
        <v>49</v>
      </c>
      <c r="C846" s="2" t="s">
        <v>3</v>
      </c>
      <c r="D846" s="2" t="s">
        <v>4</v>
      </c>
      <c r="E846" s="2" t="s">
        <v>7</v>
      </c>
      <c r="F846" s="10"/>
      <c r="G846" s="83"/>
      <c r="H846" s="2" t="s">
        <v>49</v>
      </c>
      <c r="I846" s="2" t="s">
        <v>3</v>
      </c>
      <c r="J846" s="2" t="s">
        <v>4</v>
      </c>
      <c r="K846" s="2" t="s">
        <v>7</v>
      </c>
      <c r="L846" s="10"/>
      <c r="M846" s="10"/>
      <c r="N846" s="19"/>
    </row>
    <row r="847" spans="1:14" ht="15" customHeight="1" x14ac:dyDescent="0.2">
      <c r="A847" s="19"/>
      <c r="B847" t="s">
        <v>3081</v>
      </c>
      <c r="C847">
        <f>C819*SUM(E275:E294)</f>
        <v>162.55833552000004</v>
      </c>
      <c r="D847" t="s">
        <v>121</v>
      </c>
      <c r="E847" t="s">
        <v>3079</v>
      </c>
      <c r="F847" s="10"/>
      <c r="G847" s="83"/>
      <c r="H847" s="2"/>
      <c r="I847" s="2"/>
      <c r="J847" s="2"/>
      <c r="K847" s="2"/>
      <c r="L847" s="10"/>
      <c r="M847" s="10"/>
      <c r="N847" s="19"/>
    </row>
    <row r="848" spans="1:14" ht="15" customHeight="1" x14ac:dyDescent="0.2">
      <c r="A848" s="19"/>
      <c r="B848" t="s">
        <v>993</v>
      </c>
      <c r="C848">
        <f>(C814*SUM(E823:E827))</f>
        <v>899.92973643300013</v>
      </c>
      <c r="D848" t="s">
        <v>121</v>
      </c>
      <c r="E848" t="s">
        <v>192</v>
      </c>
      <c r="G848" s="32"/>
      <c r="H848" t="s">
        <v>998</v>
      </c>
      <c r="I848" s="33">
        <f>(C815+C816)*SUM(E823:E827)</f>
        <v>2561.3384806170002</v>
      </c>
      <c r="J848" t="s">
        <v>121</v>
      </c>
      <c r="K848" t="s">
        <v>187</v>
      </c>
      <c r="N848" s="19"/>
    </row>
    <row r="849" spans="1:14" ht="15" customHeight="1" x14ac:dyDescent="0.2">
      <c r="A849" s="19"/>
      <c r="B849" t="s">
        <v>994</v>
      </c>
      <c r="C849">
        <f>C814*SUM(E828:E832)</f>
        <v>862.46395222690535</v>
      </c>
      <c r="D849" t="str">
        <f>D848</f>
        <v>MJ</v>
      </c>
      <c r="E849" t="s">
        <v>193</v>
      </c>
      <c r="G849" s="32"/>
      <c r="H849" t="s">
        <v>999</v>
      </c>
      <c r="I849" s="33">
        <f>(C815+C816)*SUM(E828:E832)</f>
        <v>2454.7050947996536</v>
      </c>
      <c r="J849" t="str">
        <f>J848</f>
        <v>MJ</v>
      </c>
      <c r="K849" t="s">
        <v>188</v>
      </c>
      <c r="N849" s="19"/>
    </row>
    <row r="850" spans="1:14" ht="15" customHeight="1" x14ac:dyDescent="0.2">
      <c r="A850" s="19"/>
      <c r="B850" t="s">
        <v>995</v>
      </c>
      <c r="C850">
        <f>C814*SUM(E833:E837)</f>
        <v>1378.666368730997</v>
      </c>
      <c r="D850" t="str">
        <f t="shared" ref="D850" si="158">D849</f>
        <v>MJ</v>
      </c>
      <c r="E850" t="s">
        <v>194</v>
      </c>
      <c r="G850" s="32"/>
      <c r="H850" t="s">
        <v>1000</v>
      </c>
      <c r="I850" s="33">
        <f>(C815+C816)*SUM(E833:E837)</f>
        <v>3923.8965879266839</v>
      </c>
      <c r="J850" t="str">
        <f t="shared" ref="J850" si="159">J849</f>
        <v>MJ</v>
      </c>
      <c r="K850" t="s">
        <v>189</v>
      </c>
      <c r="N850" s="19"/>
    </row>
    <row r="851" spans="1:14" ht="15" customHeight="1" thickBot="1" x14ac:dyDescent="0.25">
      <c r="A851" s="19"/>
      <c r="B851" s="8" t="s">
        <v>996</v>
      </c>
      <c r="C851" s="8">
        <f>C814*SUM(E838:E842)</f>
        <v>0</v>
      </c>
      <c r="D851" s="8" t="str">
        <f>D850</f>
        <v>MJ</v>
      </c>
      <c r="E851" s="8" t="s">
        <v>195</v>
      </c>
      <c r="F851" s="8"/>
      <c r="G851" s="87"/>
      <c r="H851" s="8" t="s">
        <v>1001</v>
      </c>
      <c r="I851" s="34">
        <f>(C815+C816)*SUM(E838:E842)</f>
        <v>0</v>
      </c>
      <c r="J851" s="8" t="str">
        <f>J850</f>
        <v>MJ</v>
      </c>
      <c r="K851" s="8" t="s">
        <v>190</v>
      </c>
      <c r="L851" s="8"/>
      <c r="M851" s="8"/>
      <c r="N851" s="19"/>
    </row>
    <row r="852" spans="1:14" ht="15" customHeight="1" thickTop="1" x14ac:dyDescent="0.2">
      <c r="A852" s="19"/>
      <c r="B852" s="44" t="s">
        <v>997</v>
      </c>
      <c r="C852" s="44">
        <f>SUM(C848:C851)</f>
        <v>3141.0600573909023</v>
      </c>
      <c r="D852" s="44" t="str">
        <f>D850</f>
        <v>MJ</v>
      </c>
      <c r="E852" s="44" t="s">
        <v>196</v>
      </c>
      <c r="F852" s="44"/>
      <c r="G852" s="61"/>
      <c r="H852" t="s">
        <v>1002</v>
      </c>
      <c r="I852" s="33">
        <f>SUM(I848:I851)</f>
        <v>8939.9401633433372</v>
      </c>
      <c r="J852" t="str">
        <f>J850</f>
        <v>MJ</v>
      </c>
      <c r="K852" t="s">
        <v>191</v>
      </c>
      <c r="N852" s="19"/>
    </row>
    <row r="853" spans="1:14" ht="25" customHeight="1" x14ac:dyDescent="0.2">
      <c r="A853" s="19"/>
      <c r="B853" s="214" t="s">
        <v>2918</v>
      </c>
      <c r="C853" s="214"/>
      <c r="D853" s="214"/>
      <c r="E853" s="214"/>
      <c r="F853" s="214"/>
      <c r="G853" s="214"/>
      <c r="H853" s="214"/>
      <c r="I853" s="214"/>
      <c r="J853" s="214"/>
      <c r="K853" s="214"/>
      <c r="L853" s="214"/>
      <c r="M853" s="214"/>
      <c r="N853" s="19"/>
    </row>
    <row r="854" spans="1:14" ht="25" customHeight="1" x14ac:dyDescent="0.2">
      <c r="A854" s="19"/>
      <c r="B854" s="214" t="s">
        <v>201</v>
      </c>
      <c r="C854" s="214"/>
      <c r="D854" s="214"/>
      <c r="E854" s="214"/>
      <c r="F854" s="214"/>
      <c r="G854" s="223"/>
      <c r="H854" s="214" t="s">
        <v>197</v>
      </c>
      <c r="I854" s="214"/>
      <c r="J854" s="214"/>
      <c r="K854" s="214"/>
      <c r="L854" s="214"/>
      <c r="M854" s="214"/>
      <c r="N854" s="19"/>
    </row>
    <row r="855" spans="1:14" ht="15" customHeight="1" x14ac:dyDescent="0.2">
      <c r="A855" s="19"/>
      <c r="B855" s="2" t="s">
        <v>49</v>
      </c>
      <c r="C855" s="2" t="s">
        <v>3</v>
      </c>
      <c r="D855" s="2" t="s">
        <v>4</v>
      </c>
      <c r="E855" s="2" t="s">
        <v>7</v>
      </c>
      <c r="F855" s="10"/>
      <c r="G855" s="83"/>
      <c r="H855" s="2" t="s">
        <v>49</v>
      </c>
      <c r="I855" s="2" t="s">
        <v>3</v>
      </c>
      <c r="J855" s="2" t="s">
        <v>4</v>
      </c>
      <c r="K855" s="2" t="s">
        <v>7</v>
      </c>
      <c r="L855" s="10"/>
      <c r="M855" s="10"/>
      <c r="N855" s="19"/>
    </row>
    <row r="856" spans="1:14" ht="15" customHeight="1" x14ac:dyDescent="0.2">
      <c r="A856" s="19"/>
      <c r="B856" t="s">
        <v>3082</v>
      </c>
      <c r="C856">
        <f>C820*SUM(E275:E294)</f>
        <v>268.22125360800004</v>
      </c>
      <c r="D856" t="s">
        <v>121</v>
      </c>
      <c r="E856" t="s">
        <v>3080</v>
      </c>
      <c r="F856" s="168"/>
      <c r="G856" s="169"/>
      <c r="L856" s="168"/>
      <c r="M856" s="168"/>
      <c r="N856" s="19"/>
    </row>
    <row r="857" spans="1:14" ht="15" customHeight="1" x14ac:dyDescent="0.2">
      <c r="A857" s="19"/>
      <c r="B857" t="s">
        <v>2983</v>
      </c>
      <c r="C857">
        <f>$C$814*$C$817*SUM(E823:E827)</f>
        <v>449.96486821650007</v>
      </c>
      <c r="D857" t="s">
        <v>121</v>
      </c>
      <c r="E857" t="s">
        <v>192</v>
      </c>
      <c r="G857" s="32"/>
      <c r="H857" t="s">
        <v>2988</v>
      </c>
      <c r="I857" s="33">
        <f>($C$815*$C$818+$C$816)*SUM(E823:E827)</f>
        <v>2990.5357395312003</v>
      </c>
      <c r="J857" t="s">
        <v>121</v>
      </c>
      <c r="K857" t="s">
        <v>187</v>
      </c>
      <c r="N857" s="19"/>
    </row>
    <row r="858" spans="1:14" ht="15" customHeight="1" x14ac:dyDescent="0.2">
      <c r="A858" s="19"/>
      <c r="B858" t="s">
        <v>2984</v>
      </c>
      <c r="C858">
        <f>$C$814*$C$817*SUM(E828:E832)</f>
        <v>431.23197611345267</v>
      </c>
      <c r="D858" t="str">
        <f>D857</f>
        <v>MJ</v>
      </c>
      <c r="E858" t="s">
        <v>193</v>
      </c>
      <c r="G858" s="32"/>
      <c r="H858" t="s">
        <v>2989</v>
      </c>
      <c r="I858" s="33">
        <f>($C$815*$C$818+$C$816)*SUM(E828:E832)</f>
        <v>2866.0340566309469</v>
      </c>
      <c r="J858" t="str">
        <f>J857</f>
        <v>MJ</v>
      </c>
      <c r="K858" t="s">
        <v>188</v>
      </c>
      <c r="N858" s="19"/>
    </row>
    <row r="859" spans="1:14" ht="15" customHeight="1" x14ac:dyDescent="0.2">
      <c r="A859" s="19"/>
      <c r="B859" t="s">
        <v>2985</v>
      </c>
      <c r="C859">
        <f>$C$814*$C$817*SUM(E833:E837)</f>
        <v>689.33318436549848</v>
      </c>
      <c r="D859" t="str">
        <f t="shared" ref="D859" si="160">D858</f>
        <v>MJ</v>
      </c>
      <c r="E859" t="s">
        <v>194</v>
      </c>
      <c r="G859" s="32"/>
      <c r="H859" t="s">
        <v>2990</v>
      </c>
      <c r="I859" s="33">
        <f>($C$815*$C$818+$C$816)*SUM(E833:E837)</f>
        <v>4581.4143945522364</v>
      </c>
      <c r="J859" t="str">
        <f t="shared" ref="J859" si="161">J858</f>
        <v>MJ</v>
      </c>
      <c r="K859" t="s">
        <v>189</v>
      </c>
      <c r="N859" s="19"/>
    </row>
    <row r="860" spans="1:14" ht="15" customHeight="1" thickBot="1" x14ac:dyDescent="0.25">
      <c r="A860" s="19"/>
      <c r="B860" s="8" t="s">
        <v>2986</v>
      </c>
      <c r="C860" s="8">
        <f>$C$814*$C$817*SUM(E838:E842)</f>
        <v>0</v>
      </c>
      <c r="D860" s="8" t="str">
        <f>D859</f>
        <v>MJ</v>
      </c>
      <c r="E860" s="8" t="s">
        <v>195</v>
      </c>
      <c r="F860" s="8"/>
      <c r="G860" s="87"/>
      <c r="H860" s="8" t="s">
        <v>2991</v>
      </c>
      <c r="I860" s="34">
        <f>($C$815*$C$818+$C$816)*SUM(E838:E842)</f>
        <v>0</v>
      </c>
      <c r="J860" s="8" t="str">
        <f>J859</f>
        <v>MJ</v>
      </c>
      <c r="K860" s="8" t="s">
        <v>190</v>
      </c>
      <c r="L860" s="8"/>
      <c r="M860" s="8"/>
      <c r="N860" s="19"/>
    </row>
    <row r="861" spans="1:14" ht="15" customHeight="1" thickTop="1" x14ac:dyDescent="0.2">
      <c r="A861" s="18"/>
      <c r="B861" s="44" t="s">
        <v>2987</v>
      </c>
      <c r="C861" s="44">
        <f>SUM(C857:C860)</f>
        <v>1570.5300286954512</v>
      </c>
      <c r="D861" s="44" t="str">
        <f>D859</f>
        <v>MJ</v>
      </c>
      <c r="E861" s="44" t="s">
        <v>196</v>
      </c>
      <c r="F861" s="44"/>
      <c r="G861" s="61"/>
      <c r="H861" s="44" t="s">
        <v>2992</v>
      </c>
      <c r="I861" s="62">
        <f>SUM(I857:I860)</f>
        <v>10437.984190714384</v>
      </c>
      <c r="J861" s="44" t="str">
        <f>J859</f>
        <v>MJ</v>
      </c>
      <c r="K861" s="44" t="s">
        <v>191</v>
      </c>
      <c r="L861" s="44"/>
      <c r="M861" s="44"/>
      <c r="N861" s="19"/>
    </row>
    <row r="862" spans="1:14" ht="15" customHeight="1" x14ac:dyDescent="0.2">
      <c r="A862" s="19"/>
      <c r="B862" s="74"/>
      <c r="C862" s="19"/>
      <c r="D862" s="19"/>
      <c r="E862" s="19"/>
      <c r="F862" s="19"/>
      <c r="G862" s="19"/>
      <c r="H862" s="19"/>
      <c r="I862" s="19"/>
      <c r="J862" s="19"/>
      <c r="K862" s="19"/>
      <c r="L862" s="19"/>
      <c r="M862" s="19"/>
      <c r="N862" s="18"/>
    </row>
    <row r="863" spans="1:14" ht="15" customHeight="1" x14ac:dyDescent="0.2">
      <c r="A863" s="19"/>
      <c r="B863" s="19"/>
      <c r="C863" s="74"/>
      <c r="D863" s="74"/>
      <c r="E863" s="19"/>
      <c r="F863" s="19"/>
      <c r="G863" s="19"/>
      <c r="H863" s="19"/>
      <c r="I863" s="19"/>
      <c r="J863" s="19"/>
      <c r="K863" s="19"/>
      <c r="L863" s="19"/>
      <c r="M863" s="19"/>
      <c r="N863" s="19"/>
    </row>
    <row r="864" spans="1:14" ht="15" customHeight="1" x14ac:dyDescent="0.2">
      <c r="A864" s="19"/>
      <c r="B864" s="19"/>
      <c r="C864" s="19"/>
      <c r="D864" s="19"/>
      <c r="E864" s="19"/>
      <c r="F864" s="19"/>
      <c r="G864" s="19"/>
      <c r="H864" s="19"/>
      <c r="I864" s="19"/>
      <c r="J864" s="19"/>
      <c r="K864" s="19"/>
      <c r="L864" s="19"/>
      <c r="M864" s="19"/>
      <c r="N864" s="19"/>
    </row>
    <row r="865" spans="1:14" ht="15" customHeight="1" x14ac:dyDescent="0.2">
      <c r="A865" s="19"/>
      <c r="B865" s="19"/>
      <c r="C865" s="19"/>
      <c r="D865" s="19"/>
      <c r="E865" s="19"/>
      <c r="F865" s="19"/>
      <c r="G865" s="19"/>
      <c r="H865" s="19"/>
      <c r="I865" s="19"/>
      <c r="J865" s="19"/>
      <c r="K865" s="19"/>
      <c r="L865" s="19"/>
      <c r="M865" s="19"/>
      <c r="N865" s="19"/>
    </row>
    <row r="866" spans="1:14" ht="15" customHeight="1" x14ac:dyDescent="0.2">
      <c r="A866" s="85"/>
      <c r="B866" s="85"/>
      <c r="C866" s="85"/>
      <c r="D866" s="85"/>
      <c r="E866" s="86"/>
      <c r="F866" s="85"/>
      <c r="G866" s="85"/>
      <c r="H866" s="85"/>
      <c r="I866" s="85"/>
      <c r="J866" s="85"/>
      <c r="K866" s="85"/>
      <c r="L866" s="85"/>
      <c r="M866" s="85"/>
      <c r="N866" s="85"/>
    </row>
  </sheetData>
  <mergeCells count="266">
    <mergeCell ref="C13:H13"/>
    <mergeCell ref="C14:H14"/>
    <mergeCell ref="C4:H4"/>
    <mergeCell ref="C5:H5"/>
    <mergeCell ref="C6:H6"/>
    <mergeCell ref="C7:H7"/>
    <mergeCell ref="C8:H8"/>
    <mergeCell ref="C9:H9"/>
    <mergeCell ref="C10:H10"/>
    <mergeCell ref="C11:H11"/>
    <mergeCell ref="C12:H12"/>
    <mergeCell ref="B580:M580"/>
    <mergeCell ref="B591:M591"/>
    <mergeCell ref="B128:B132"/>
    <mergeCell ref="H128:H132"/>
    <mergeCell ref="B828:B832"/>
    <mergeCell ref="B823:B827"/>
    <mergeCell ref="H719:H723"/>
    <mergeCell ref="B812:M812"/>
    <mergeCell ref="B821:G821"/>
    <mergeCell ref="B509:B513"/>
    <mergeCell ref="B514:B518"/>
    <mergeCell ref="B519:B523"/>
    <mergeCell ref="H509:H513"/>
    <mergeCell ref="H514:H518"/>
    <mergeCell ref="H519:H523"/>
    <mergeCell ref="B524:M524"/>
    <mergeCell ref="H575:H579"/>
    <mergeCell ref="H570:H574"/>
    <mergeCell ref="H565:H569"/>
    <mergeCell ref="H560:H564"/>
    <mergeCell ref="B575:B579"/>
    <mergeCell ref="B570:B574"/>
    <mergeCell ref="B565:B569"/>
    <mergeCell ref="B595:B599"/>
    <mergeCell ref="H610:H614"/>
    <mergeCell ref="H605:H609"/>
    <mergeCell ref="H600:H604"/>
    <mergeCell ref="H595:H599"/>
    <mergeCell ref="H748:H752"/>
    <mergeCell ref="H743:H747"/>
    <mergeCell ref="B753:B757"/>
    <mergeCell ref="B748:B752"/>
    <mergeCell ref="B743:B747"/>
    <mergeCell ref="B600:B604"/>
    <mergeCell ref="H793:H797"/>
    <mergeCell ref="H788:H792"/>
    <mergeCell ref="H783:H787"/>
    <mergeCell ref="B793:B797"/>
    <mergeCell ref="B788:B792"/>
    <mergeCell ref="B783:B787"/>
    <mergeCell ref="B414:B418"/>
    <mergeCell ref="H684:H688"/>
    <mergeCell ref="H679:H683"/>
    <mergeCell ref="H674:H678"/>
    <mergeCell ref="B684:B688"/>
    <mergeCell ref="B679:B683"/>
    <mergeCell ref="B674:B678"/>
    <mergeCell ref="B592:M592"/>
    <mergeCell ref="B593:G593"/>
    <mergeCell ref="H593:M593"/>
    <mergeCell ref="B615:M615"/>
    <mergeCell ref="B560:B564"/>
    <mergeCell ref="B552:B556"/>
    <mergeCell ref="B547:B551"/>
    <mergeCell ref="B542:B546"/>
    <mergeCell ref="B537:B541"/>
    <mergeCell ref="B610:B614"/>
    <mergeCell ref="B605:B609"/>
    <mergeCell ref="B534:M534"/>
    <mergeCell ref="B535:G535"/>
    <mergeCell ref="B557:M557"/>
    <mergeCell ref="B558:G558"/>
    <mergeCell ref="H558:M558"/>
    <mergeCell ref="H507:M507"/>
    <mergeCell ref="H483:H487"/>
    <mergeCell ref="H478:H482"/>
    <mergeCell ref="B488:B492"/>
    <mergeCell ref="B483:B487"/>
    <mergeCell ref="B478:B482"/>
    <mergeCell ref="B449:B453"/>
    <mergeCell ref="B454:B458"/>
    <mergeCell ref="B459:B463"/>
    <mergeCell ref="H459:H463"/>
    <mergeCell ref="H454:H458"/>
    <mergeCell ref="H449:H453"/>
    <mergeCell ref="B464:M464"/>
    <mergeCell ref="B474:M474"/>
    <mergeCell ref="B475:M475"/>
    <mergeCell ref="B476:G476"/>
    <mergeCell ref="H476:M476"/>
    <mergeCell ref="H488:H492"/>
    <mergeCell ref="B493:M493"/>
    <mergeCell ref="B505:M505"/>
    <mergeCell ref="B506:M506"/>
    <mergeCell ref="B507:G507"/>
    <mergeCell ref="B118:B122"/>
    <mergeCell ref="B113:B117"/>
    <mergeCell ref="B158:B162"/>
    <mergeCell ref="B163:B167"/>
    <mergeCell ref="H163:H167"/>
    <mergeCell ref="H158:H162"/>
    <mergeCell ref="B199:B203"/>
    <mergeCell ref="H199:H203"/>
    <mergeCell ref="B196:M196"/>
    <mergeCell ref="B197:G197"/>
    <mergeCell ref="B173:M173"/>
    <mergeCell ref="B133:M133"/>
    <mergeCell ref="B144:M144"/>
    <mergeCell ref="B155:M155"/>
    <mergeCell ref="B156:G156"/>
    <mergeCell ref="H156:M156"/>
    <mergeCell ref="B168:B172"/>
    <mergeCell ref="H168:H172"/>
    <mergeCell ref="H123:H127"/>
    <mergeCell ref="B123:B127"/>
    <mergeCell ref="B185:M185"/>
    <mergeCell ref="H197:M197"/>
    <mergeCell ref="B628:M628"/>
    <mergeCell ref="B630:M630"/>
    <mergeCell ref="B636:M636"/>
    <mergeCell ref="B637:G637"/>
    <mergeCell ref="B368:M368"/>
    <mergeCell ref="B370:M370"/>
    <mergeCell ref="B350:B354"/>
    <mergeCell ref="H350:H354"/>
    <mergeCell ref="H204:H208"/>
    <mergeCell ref="B263:M263"/>
    <mergeCell ref="B253:M253"/>
    <mergeCell ref="B214:M214"/>
    <mergeCell ref="B224:M224"/>
    <mergeCell ref="B235:M235"/>
    <mergeCell ref="B236:G236"/>
    <mergeCell ref="H236:M236"/>
    <mergeCell ref="B318:M318"/>
    <mergeCell ref="B434:M434"/>
    <mergeCell ref="B445:M445"/>
    <mergeCell ref="H118:H122"/>
    <mergeCell ref="H113:H117"/>
    <mergeCell ref="B798:M798"/>
    <mergeCell ref="B758:M758"/>
    <mergeCell ref="B774:M774"/>
    <mergeCell ref="B780:M780"/>
    <mergeCell ref="B781:G781"/>
    <mergeCell ref="H781:M781"/>
    <mergeCell ref="H637:M637"/>
    <mergeCell ref="H639:H643"/>
    <mergeCell ref="B654:B658"/>
    <mergeCell ref="B649:B653"/>
    <mergeCell ref="B644:B648"/>
    <mergeCell ref="B639:B643"/>
    <mergeCell ref="H654:H658"/>
    <mergeCell ref="H649:H653"/>
    <mergeCell ref="H644:H648"/>
    <mergeCell ref="B724:M724"/>
    <mergeCell ref="B734:M734"/>
    <mergeCell ref="B740:M740"/>
    <mergeCell ref="B741:G741"/>
    <mergeCell ref="H741:M741"/>
    <mergeCell ref="B689:B693"/>
    <mergeCell ref="H689:H693"/>
    <mergeCell ref="B410:M410"/>
    <mergeCell ref="B411:M411"/>
    <mergeCell ref="B238:B242"/>
    <mergeCell ref="B355:M355"/>
    <mergeCell ref="B329:M329"/>
    <mergeCell ref="B332:M332"/>
    <mergeCell ref="B333:G333"/>
    <mergeCell ref="H333:M333"/>
    <mergeCell ref="B335:B339"/>
    <mergeCell ref="H335:H339"/>
    <mergeCell ref="B313:B317"/>
    <mergeCell ref="B295:M295"/>
    <mergeCell ref="B296:G296"/>
    <mergeCell ref="H296:M296"/>
    <mergeCell ref="B340:B344"/>
    <mergeCell ref="H340:H344"/>
    <mergeCell ref="B345:B349"/>
    <mergeCell ref="H345:H349"/>
    <mergeCell ref="B1:M1"/>
    <mergeCell ref="H298:H302"/>
    <mergeCell ref="H303:H307"/>
    <mergeCell ref="H308:H312"/>
    <mergeCell ref="H313:H317"/>
    <mergeCell ref="B273:G273"/>
    <mergeCell ref="B275:B279"/>
    <mergeCell ref="B280:B284"/>
    <mergeCell ref="B285:B289"/>
    <mergeCell ref="B290:B294"/>
    <mergeCell ref="B298:B302"/>
    <mergeCell ref="B303:B307"/>
    <mergeCell ref="B308:B312"/>
    <mergeCell ref="B68:B72"/>
    <mergeCell ref="B73:B77"/>
    <mergeCell ref="B35:M35"/>
    <mergeCell ref="B243:B247"/>
    <mergeCell ref="B248:B252"/>
    <mergeCell ref="H243:H247"/>
    <mergeCell ref="H238:H242"/>
    <mergeCell ref="H248:H252"/>
    <mergeCell ref="B204:B208"/>
    <mergeCell ref="B209:B213"/>
    <mergeCell ref="H209:H213"/>
    <mergeCell ref="B37:M37"/>
    <mergeCell ref="B88:M88"/>
    <mergeCell ref="B65:M65"/>
    <mergeCell ref="B66:G66"/>
    <mergeCell ref="H66:M66"/>
    <mergeCell ref="B111:G111"/>
    <mergeCell ref="H111:M111"/>
    <mergeCell ref="B99:M99"/>
    <mergeCell ref="B110:M110"/>
    <mergeCell ref="B78:B82"/>
    <mergeCell ref="B83:B87"/>
    <mergeCell ref="H78:H82"/>
    <mergeCell ref="H73:H77"/>
    <mergeCell ref="H68:H72"/>
    <mergeCell ref="H83:H87"/>
    <mergeCell ref="B446:M446"/>
    <mergeCell ref="B447:G447"/>
    <mergeCell ref="H447:M447"/>
    <mergeCell ref="B412:G412"/>
    <mergeCell ref="H377:M377"/>
    <mergeCell ref="B377:G377"/>
    <mergeCell ref="B376:M376"/>
    <mergeCell ref="B379:B383"/>
    <mergeCell ref="B384:B388"/>
    <mergeCell ref="B389:B393"/>
    <mergeCell ref="H379:H383"/>
    <mergeCell ref="H412:M412"/>
    <mergeCell ref="H384:H388"/>
    <mergeCell ref="H389:H393"/>
    <mergeCell ref="H394:H398"/>
    <mergeCell ref="B394:B398"/>
    <mergeCell ref="B399:M399"/>
    <mergeCell ref="H424:H428"/>
    <mergeCell ref="H419:H423"/>
    <mergeCell ref="H414:H418"/>
    <mergeCell ref="B424:B428"/>
    <mergeCell ref="B419:B423"/>
    <mergeCell ref="B429:B433"/>
    <mergeCell ref="H429:H433"/>
    <mergeCell ref="B853:M853"/>
    <mergeCell ref="B854:G854"/>
    <mergeCell ref="H854:M854"/>
    <mergeCell ref="B694:M694"/>
    <mergeCell ref="B705:M705"/>
    <mergeCell ref="B706:M706"/>
    <mergeCell ref="B707:G707"/>
    <mergeCell ref="H707:M707"/>
    <mergeCell ref="B659:M659"/>
    <mergeCell ref="B670:M670"/>
    <mergeCell ref="B671:M671"/>
    <mergeCell ref="B672:G672"/>
    <mergeCell ref="H672:M672"/>
    <mergeCell ref="B833:B837"/>
    <mergeCell ref="B838:B842"/>
    <mergeCell ref="B844:M844"/>
    <mergeCell ref="B845:G845"/>
    <mergeCell ref="H845:M845"/>
    <mergeCell ref="H714:H718"/>
    <mergeCell ref="H709:H713"/>
    <mergeCell ref="B719:B723"/>
    <mergeCell ref="B714:B718"/>
    <mergeCell ref="B709:B713"/>
    <mergeCell ref="H753:H757"/>
  </mergeCells>
  <pageMargins left="0.7" right="0.7" top="0.75" bottom="0.75" header="0.3" footer="0.3"/>
  <pageSetup paperSize="9" orientation="portrait" horizontalDpi="4294967293" verticalDpi="4294967295" r:id="rId1"/>
  <ignoredErrors>
    <ignoredError sqref="E162 I9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923"/>
  <sheetViews>
    <sheetView zoomScale="70" zoomScaleNormal="70" workbookViewId="0">
      <selection activeCell="B1" sqref="B1:M1"/>
    </sheetView>
  </sheetViews>
  <sheetFormatPr baseColWidth="10" defaultColWidth="9.1640625" defaultRowHeight="15" x14ac:dyDescent="0.2"/>
  <cols>
    <col min="2" max="2" width="42.6640625" bestFit="1" customWidth="1"/>
    <col min="3" max="3" width="13.5" customWidth="1"/>
    <col min="4" max="4" width="12.1640625" bestFit="1" customWidth="1"/>
    <col min="5" max="5" width="36.6640625" customWidth="1"/>
    <col min="6" max="6" width="9.5" bestFit="1" customWidth="1"/>
    <col min="7" max="7" width="123.6640625" bestFit="1" customWidth="1"/>
    <col min="8" max="8" width="20.5" customWidth="1"/>
    <col min="9" max="9" width="14" bestFit="1" customWidth="1"/>
    <col min="10" max="10" width="11" bestFit="1" customWidth="1"/>
    <col min="11" max="11" width="10.33203125" customWidth="1"/>
    <col min="13" max="13" width="88.1640625" bestFit="1" customWidth="1"/>
    <col min="16" max="16" width="11.83203125" bestFit="1" customWidth="1"/>
    <col min="17" max="17" width="12.33203125" bestFit="1" customWidth="1"/>
    <col min="19" max="19" width="17.83203125" customWidth="1"/>
    <col min="21" max="21" width="74.1640625" customWidth="1"/>
    <col min="22" max="22" width="9.33203125" bestFit="1" customWidth="1"/>
    <col min="23" max="23" width="12.1640625" bestFit="1" customWidth="1"/>
    <col min="25" max="25" width="12.1640625" bestFit="1" customWidth="1"/>
    <col min="27" max="27" width="63.1640625" customWidth="1"/>
    <col min="31" max="31" width="13.1640625" bestFit="1" customWidth="1"/>
    <col min="33" max="33" width="12" bestFit="1" customWidth="1"/>
    <col min="35" max="35" width="65.33203125" customWidth="1"/>
    <col min="37" max="37" width="12" bestFit="1" customWidth="1"/>
    <col min="39" max="39" width="12" bestFit="1" customWidth="1"/>
    <col min="41" max="41" width="62.33203125" customWidth="1"/>
  </cols>
  <sheetData>
    <row r="1" spans="2:13" ht="26" x14ac:dyDescent="0.3">
      <c r="B1" s="211" t="s">
        <v>2878</v>
      </c>
      <c r="C1" s="211"/>
      <c r="D1" s="211"/>
      <c r="E1" s="211"/>
      <c r="F1" s="211"/>
      <c r="G1" s="211"/>
      <c r="H1" s="211"/>
      <c r="I1" s="211"/>
      <c r="J1" s="211"/>
      <c r="K1" s="211"/>
      <c r="L1" s="211"/>
      <c r="M1" s="211"/>
    </row>
    <row r="2" spans="2:13" ht="14.25" customHeight="1" x14ac:dyDescent="0.3">
      <c r="B2" s="46"/>
      <c r="C2" s="46"/>
      <c r="D2" s="46"/>
      <c r="E2" s="46"/>
      <c r="F2" s="46"/>
      <c r="G2" s="46"/>
      <c r="H2" s="46"/>
      <c r="I2" s="46"/>
      <c r="J2" s="46"/>
      <c r="K2" s="46"/>
      <c r="L2" s="46"/>
      <c r="M2" s="46"/>
    </row>
    <row r="3" spans="2:13" ht="21" x14ac:dyDescent="0.25">
      <c r="B3" s="100" t="s">
        <v>113</v>
      </c>
      <c r="C3" s="212"/>
      <c r="D3" s="212"/>
      <c r="E3" s="212"/>
      <c r="F3" s="212"/>
      <c r="G3" s="212"/>
      <c r="H3" s="212"/>
      <c r="I3" s="212"/>
      <c r="J3" s="212"/>
      <c r="K3" s="212"/>
      <c r="L3" s="212"/>
      <c r="M3" s="212"/>
    </row>
    <row r="4" spans="2:13" x14ac:dyDescent="0.2">
      <c r="B4" s="39">
        <f>'info, structure, parameters'!A17</f>
        <v>1</v>
      </c>
      <c r="C4" s="213" t="str">
        <f>'info, structure, parameters'!B17</f>
        <v>Eriksen, M. K., Damgaard, A., Boldrin, A., and Astrup, T. F. (2019). Quality Assessment and Circularity Potential of Recovery Systems for Household Plastic Waste. Journal of Industrial Ecology, 23(1):156–168.</v>
      </c>
      <c r="D4" s="213"/>
      <c r="E4" s="213"/>
      <c r="F4" s="213"/>
      <c r="G4" s="213"/>
      <c r="H4" s="213"/>
      <c r="I4" s="213"/>
      <c r="J4" s="213"/>
      <c r="K4" s="213"/>
      <c r="L4" s="213"/>
      <c r="M4" s="213"/>
    </row>
    <row r="5" spans="2:13" x14ac:dyDescent="0.2">
      <c r="B5" s="39">
        <f>'info, structure, parameters'!A18</f>
        <v>2</v>
      </c>
      <c r="C5" s="213" t="str">
        <f>'info, structure, parameters'!B18</f>
        <v>Eriksen, M. K., Pivnenko, K., Faraca, G., Boldrin, A., and Astrup, T. F. (2020). Dynamic Material Flow Analysis of PET, PE, and PP Flows in Europe: Evaluation of the Potential for Circular Economy. Environmental Science and Technology, 54(24):16166–16175.</v>
      </c>
      <c r="D5" s="213"/>
      <c r="E5" s="213"/>
      <c r="F5" s="213"/>
      <c r="G5" s="213"/>
      <c r="H5" s="213"/>
      <c r="I5" s="213"/>
      <c r="J5" s="213"/>
      <c r="K5" s="213"/>
      <c r="L5" s="213"/>
      <c r="M5" s="213"/>
    </row>
    <row r="6" spans="2:13" x14ac:dyDescent="0.2">
      <c r="B6" s="39">
        <f>'info, structure, parameters'!A19</f>
        <v>3</v>
      </c>
      <c r="C6" s="213" t="str">
        <f>'info, structure, parameters'!B19</f>
        <v>EASETECH</v>
      </c>
      <c r="D6" s="213"/>
      <c r="E6" s="213"/>
      <c r="F6" s="213"/>
      <c r="G6" s="213"/>
      <c r="H6" s="213"/>
      <c r="I6" s="213"/>
      <c r="J6" s="213"/>
      <c r="K6" s="213"/>
      <c r="L6" s="213"/>
      <c r="M6" s="213"/>
    </row>
    <row r="7" spans="2:13" x14ac:dyDescent="0.2">
      <c r="B7" s="39">
        <f>'info, structure, parameters'!A20</f>
        <v>4</v>
      </c>
      <c r="C7" s="213" t="str">
        <f>'info, structure, parameters'!B20</f>
        <v>Bisinella, V., Hulgaard, T., Riber, C., Damgaard, A., and Christensen, T. H. (2021). Environmental assessment of carbon capture and storage (CCS) as a post-treatment technology in waste incineration. Waste Management, 128:99–113.</v>
      </c>
      <c r="D7" s="213"/>
      <c r="E7" s="213"/>
      <c r="F7" s="213"/>
      <c r="G7" s="213"/>
      <c r="H7" s="213"/>
      <c r="I7" s="213"/>
      <c r="J7" s="213"/>
      <c r="K7" s="213"/>
      <c r="L7" s="213"/>
      <c r="M7" s="213"/>
    </row>
    <row r="8" spans="2:13" x14ac:dyDescent="0.2">
      <c r="B8" s="39">
        <f>'info, structure, parameters'!A21</f>
        <v>5</v>
      </c>
      <c r="C8" s="213" t="str">
        <f>'info, structure, parameters'!B21</f>
        <v>Jeswani, H., Krüger, C., Russ, M., Horlacher, M.,Antony, F., Hann, S., and Azapagic, A. (2021). Life cycle environmental impacts of chemical recycling via pyrolysis of mixed plastic waste in comparison with mechanical recycling and energy recovery. Science of the Total Environment, 769.</v>
      </c>
      <c r="D8" s="213"/>
      <c r="E8" s="213"/>
      <c r="F8" s="213"/>
      <c r="G8" s="213"/>
      <c r="H8" s="213"/>
      <c r="I8" s="213"/>
      <c r="J8" s="213"/>
      <c r="K8" s="213"/>
      <c r="L8" s="213"/>
      <c r="M8" s="213"/>
    </row>
    <row r="9" spans="2:13" x14ac:dyDescent="0.2">
      <c r="B9" s="39">
        <f>'info, structure, parameters'!A22</f>
        <v>6</v>
      </c>
      <c r="C9" s="213" t="str">
        <f>'info, structure, parameters'!B22</f>
        <v>Civancik-Uslu et al. (2021)</v>
      </c>
      <c r="D9" s="213"/>
      <c r="E9" s="213"/>
      <c r="F9" s="213"/>
      <c r="G9" s="213"/>
      <c r="H9" s="213"/>
      <c r="I9" s="213"/>
      <c r="J9" s="213"/>
      <c r="K9" s="213"/>
      <c r="L9" s="213"/>
      <c r="M9" s="213"/>
    </row>
    <row r="10" spans="2:13" x14ac:dyDescent="0.2">
      <c r="B10" s="39">
        <f>'info, structure, parameters'!A23</f>
        <v>7</v>
      </c>
      <c r="C10" s="213" t="str">
        <f>'info, structure, parameters'!B23</f>
        <v>Marie's excel (average)</v>
      </c>
      <c r="D10" s="213"/>
      <c r="E10" s="213"/>
      <c r="F10" s="213"/>
      <c r="G10" s="213"/>
      <c r="H10" s="213"/>
      <c r="I10" s="213"/>
      <c r="J10" s="213"/>
      <c r="K10" s="213"/>
      <c r="L10" s="213"/>
      <c r="M10" s="213"/>
    </row>
    <row r="11" spans="2:13" x14ac:dyDescent="0.2">
      <c r="B11" s="39">
        <f>'info, structure, parameters'!A24</f>
        <v>8</v>
      </c>
      <c r="C11" s="213" t="str">
        <f>'info, structure, parameters'!B24</f>
        <v>Faraca, G., Martinez-Sanchez, V., Astrup, T. F. (2019). Environmental life cycle cost assessment: recycling of hard plastic waste collected at Danish recycling centres. Resources, Conservationand Recycling, 143(October 2018):299–309.</v>
      </c>
      <c r="D11" s="213"/>
      <c r="E11" s="213"/>
      <c r="F11" s="213"/>
      <c r="G11" s="213"/>
      <c r="H11" s="213"/>
      <c r="I11" s="213"/>
      <c r="J11" s="213"/>
      <c r="K11" s="213"/>
      <c r="L11" s="213"/>
      <c r="M11" s="213"/>
    </row>
    <row r="12" spans="2:13" x14ac:dyDescent="0.2">
      <c r="B12" s="39">
        <f>'info, structure, parameters'!A25</f>
        <v>9</v>
      </c>
      <c r="C12" s="213" t="str">
        <f>'info, structure, parameters'!B25</f>
        <v>Civancik-Uslu, D., Nhu, T. T., Van Gorp, B., Kreso-vic, U., Larrain, M., Billen, P., Ragaert, K., DeMeester, S., Dewulf, J., and Huysveld, S. (2021).Moving from linear to circular household plas-tic packaging in Belgium: Prospective life cycleassessment of mechanical and thermochemicalrecycling.Resources, Conservation and Recy-cling, 171(March):105633.</v>
      </c>
      <c r="D12" s="213"/>
      <c r="E12" s="213"/>
      <c r="F12" s="213"/>
      <c r="G12" s="213"/>
      <c r="H12" s="213"/>
      <c r="I12" s="213"/>
      <c r="J12" s="213"/>
      <c r="K12" s="213"/>
      <c r="L12" s="213"/>
      <c r="M12" s="213"/>
    </row>
    <row r="13" spans="2:13" x14ac:dyDescent="0.2">
      <c r="B13" s="39">
        <f>'info, structure, parameters'!A26</f>
        <v>10</v>
      </c>
      <c r="C13" s="213" t="str">
        <f>'info, structure, parameters'!B26</f>
        <v xml:space="preserve">MST/DTU Emballage statistik </v>
      </c>
      <c r="D13" s="213"/>
      <c r="E13" s="213"/>
      <c r="F13" s="213"/>
      <c r="G13" s="213"/>
      <c r="H13" s="213"/>
      <c r="I13" s="213"/>
      <c r="J13" s="213"/>
      <c r="K13" s="213"/>
      <c r="L13" s="213"/>
      <c r="M13" s="213"/>
    </row>
    <row r="14" spans="2:13" x14ac:dyDescent="0.2">
      <c r="B14" s="39">
        <f>'info, structure, parameters'!A27</f>
        <v>11</v>
      </c>
      <c r="C14" s="213" t="str">
        <f>'info, structure, parameters'!B27</f>
        <v xml:space="preserve">Shen,  L.,  Worrell,  E.,  and  Patel,  M.  K.  (2010). Open-loop  recycling:   A  LCA  case  study  ofPET bottle-to-fibre recycling. Resources, Conservation  and  Recycling, </v>
      </c>
      <c r="D14" s="213"/>
      <c r="E14" s="213"/>
      <c r="F14" s="213"/>
      <c r="G14" s="213"/>
      <c r="H14" s="213"/>
      <c r="I14" s="213"/>
      <c r="J14" s="213"/>
      <c r="K14" s="213"/>
      <c r="L14" s="213"/>
      <c r="M14" s="213"/>
    </row>
    <row r="15" spans="2:13" x14ac:dyDescent="0.2">
      <c r="B15" s="39"/>
      <c r="C15" s="39"/>
      <c r="D15" s="39"/>
      <c r="E15" s="39"/>
      <c r="F15" s="39"/>
      <c r="G15" s="39"/>
      <c r="H15" s="39"/>
      <c r="I15" s="39"/>
      <c r="J15" s="39"/>
      <c r="K15" s="39"/>
      <c r="L15" s="39"/>
      <c r="M15" s="39"/>
    </row>
    <row r="16" spans="2:13" x14ac:dyDescent="0.2">
      <c r="B16" s="39"/>
      <c r="C16" s="39"/>
      <c r="D16" s="39"/>
      <c r="E16" s="39"/>
      <c r="F16" s="39"/>
      <c r="G16" s="39"/>
      <c r="H16" s="39"/>
      <c r="I16" s="39"/>
      <c r="J16" s="39"/>
      <c r="K16" s="39"/>
      <c r="L16" s="39"/>
      <c r="M16" s="39"/>
    </row>
    <row r="17" spans="2:13" ht="21" x14ac:dyDescent="0.25">
      <c r="B17" s="59" t="s">
        <v>2660</v>
      </c>
      <c r="C17" s="39"/>
      <c r="D17" s="39"/>
      <c r="E17" s="39"/>
      <c r="F17" s="39"/>
      <c r="G17" s="39"/>
      <c r="H17" s="39"/>
      <c r="I17" s="39"/>
      <c r="J17" s="39"/>
      <c r="K17" s="39"/>
      <c r="L17" s="39"/>
      <c r="M17" s="39"/>
    </row>
    <row r="18" spans="2:13" x14ac:dyDescent="0.2">
      <c r="B18" s="39"/>
      <c r="C18" s="39"/>
      <c r="D18" s="39"/>
      <c r="E18" s="39"/>
      <c r="F18" s="39"/>
      <c r="G18" s="39"/>
      <c r="H18" s="39"/>
      <c r="I18" s="39"/>
      <c r="J18" s="39"/>
      <c r="K18" s="39"/>
      <c r="L18" s="39"/>
      <c r="M18" s="39"/>
    </row>
    <row r="19" spans="2:13" x14ac:dyDescent="0.2">
      <c r="B19" s="39"/>
      <c r="C19" s="39"/>
      <c r="D19" s="39"/>
      <c r="E19" s="39"/>
      <c r="F19" s="39"/>
      <c r="G19" s="39"/>
      <c r="H19" s="39"/>
      <c r="I19" s="39"/>
      <c r="J19" s="39"/>
      <c r="K19" s="39"/>
      <c r="L19" s="39"/>
      <c r="M19" s="39"/>
    </row>
    <row r="20" spans="2:13" x14ac:dyDescent="0.2">
      <c r="B20" s="39"/>
      <c r="C20" s="39"/>
      <c r="D20" s="39"/>
      <c r="E20" s="39"/>
      <c r="F20" s="39"/>
      <c r="G20" s="39"/>
      <c r="H20" s="39"/>
      <c r="I20" s="39"/>
      <c r="J20" s="39"/>
      <c r="K20" s="39"/>
      <c r="L20" s="39"/>
      <c r="M20" s="39"/>
    </row>
    <row r="21" spans="2:13" x14ac:dyDescent="0.2">
      <c r="B21" s="39"/>
      <c r="C21" s="39"/>
      <c r="D21" s="39"/>
      <c r="E21" s="39"/>
      <c r="F21" s="39"/>
      <c r="G21" s="39"/>
      <c r="H21" s="39"/>
      <c r="I21" s="39"/>
      <c r="J21" s="39"/>
      <c r="K21" s="39"/>
      <c r="L21" s="39"/>
      <c r="M21" s="39"/>
    </row>
    <row r="22" spans="2:13" x14ac:dyDescent="0.2">
      <c r="B22" s="39"/>
      <c r="C22" s="39"/>
      <c r="D22" s="39"/>
      <c r="E22" s="39"/>
      <c r="F22" s="39"/>
      <c r="G22" s="39"/>
      <c r="H22" s="39"/>
      <c r="I22" s="39"/>
      <c r="J22" s="39"/>
      <c r="K22" s="39"/>
      <c r="L22" s="39"/>
      <c r="M22" s="39"/>
    </row>
    <row r="23" spans="2:13" x14ac:dyDescent="0.2">
      <c r="B23" s="39"/>
      <c r="C23" s="39"/>
      <c r="D23" s="39"/>
      <c r="E23" s="39"/>
      <c r="F23" s="39"/>
      <c r="G23" s="39"/>
      <c r="H23" s="39"/>
      <c r="I23" s="39"/>
      <c r="J23" s="39"/>
      <c r="K23" s="39"/>
      <c r="L23" s="39"/>
      <c r="M23" s="39"/>
    </row>
    <row r="24" spans="2:13" x14ac:dyDescent="0.2">
      <c r="B24" s="39"/>
      <c r="C24" s="39"/>
      <c r="D24" s="39"/>
      <c r="E24" s="39"/>
      <c r="F24" s="39"/>
      <c r="G24" s="39"/>
      <c r="H24" s="39"/>
      <c r="I24" s="39"/>
      <c r="J24" s="39"/>
      <c r="K24" s="39"/>
      <c r="L24" s="39"/>
      <c r="M24" s="39"/>
    </row>
    <row r="25" spans="2:13" x14ac:dyDescent="0.2">
      <c r="B25" s="39"/>
      <c r="C25" s="39"/>
      <c r="D25" s="39"/>
      <c r="E25" s="39"/>
      <c r="F25" s="39"/>
      <c r="G25" s="39"/>
      <c r="H25" s="39"/>
      <c r="I25" s="39"/>
      <c r="J25" s="39"/>
      <c r="K25" s="39"/>
      <c r="L25" s="39"/>
      <c r="M25" s="39"/>
    </row>
    <row r="26" spans="2:13" x14ac:dyDescent="0.2">
      <c r="B26" s="39"/>
      <c r="C26" s="39"/>
      <c r="D26" s="39"/>
      <c r="E26" s="39"/>
      <c r="F26" s="39"/>
      <c r="G26" s="39"/>
      <c r="H26" s="39"/>
      <c r="I26" s="39"/>
      <c r="J26" s="39"/>
      <c r="K26" s="39"/>
      <c r="L26" s="39"/>
      <c r="M26" s="39"/>
    </row>
    <row r="27" spans="2:13" x14ac:dyDescent="0.2">
      <c r="B27" s="39"/>
      <c r="C27" s="39"/>
      <c r="D27" s="39"/>
      <c r="E27" s="39"/>
      <c r="F27" s="39"/>
      <c r="G27" s="39"/>
      <c r="H27" s="39"/>
      <c r="I27" s="39"/>
      <c r="J27" s="39"/>
      <c r="K27" s="39"/>
      <c r="L27" s="39"/>
      <c r="M27" s="39"/>
    </row>
    <row r="28" spans="2:13" x14ac:dyDescent="0.2">
      <c r="B28" s="39"/>
      <c r="C28" s="39"/>
      <c r="D28" s="39"/>
      <c r="E28" s="39"/>
      <c r="F28" s="39"/>
      <c r="G28" s="39"/>
      <c r="H28" s="39"/>
      <c r="I28" s="39"/>
      <c r="J28" s="39"/>
      <c r="K28" s="39"/>
      <c r="L28" s="39"/>
      <c r="M28" s="39"/>
    </row>
    <row r="29" spans="2:13" x14ac:dyDescent="0.2">
      <c r="B29" s="39"/>
      <c r="C29" s="39"/>
      <c r="D29" s="39"/>
      <c r="E29" s="39"/>
      <c r="F29" s="39"/>
      <c r="G29" s="39"/>
      <c r="H29" s="39"/>
      <c r="I29" s="39"/>
      <c r="J29" s="39"/>
      <c r="K29" s="39"/>
      <c r="L29" s="39"/>
      <c r="M29" s="39"/>
    </row>
    <row r="30" spans="2:13" x14ac:dyDescent="0.2">
      <c r="B30" s="39"/>
      <c r="C30" s="39"/>
      <c r="D30" s="39"/>
      <c r="E30" s="39"/>
      <c r="F30" s="39"/>
      <c r="G30" s="39"/>
      <c r="H30" s="39"/>
      <c r="I30" s="39"/>
      <c r="J30" s="39"/>
      <c r="K30" s="39"/>
      <c r="L30" s="39"/>
      <c r="M30" s="39"/>
    </row>
    <row r="31" spans="2:13" x14ac:dyDescent="0.2">
      <c r="B31" s="39"/>
      <c r="C31" s="39"/>
      <c r="D31" s="39"/>
      <c r="E31" s="39"/>
      <c r="F31" s="39"/>
      <c r="G31" s="39"/>
      <c r="H31" s="39"/>
      <c r="I31" s="39"/>
      <c r="J31" s="39"/>
      <c r="K31" s="39"/>
      <c r="L31" s="39"/>
      <c r="M31" s="39"/>
    </row>
    <row r="32" spans="2:13" x14ac:dyDescent="0.2">
      <c r="B32" s="39" t="s">
        <v>2879</v>
      </c>
      <c r="C32" s="39"/>
      <c r="D32" s="39"/>
      <c r="E32" s="39"/>
      <c r="F32" s="39"/>
      <c r="G32" s="39"/>
      <c r="H32" s="39"/>
      <c r="I32" s="39"/>
      <c r="J32" s="39"/>
      <c r="K32" s="39"/>
      <c r="L32" s="39"/>
      <c r="M32" s="39"/>
    </row>
    <row r="33" spans="1:14" x14ac:dyDescent="0.2">
      <c r="B33" s="39"/>
      <c r="C33" s="39"/>
      <c r="D33" s="39"/>
      <c r="E33" s="39"/>
      <c r="F33" s="39"/>
      <c r="G33" s="39"/>
      <c r="H33" s="39"/>
      <c r="I33" s="39"/>
      <c r="J33" s="39"/>
      <c r="K33" s="39"/>
      <c r="L33" s="39"/>
      <c r="M33" s="39"/>
    </row>
    <row r="35" spans="1:14" x14ac:dyDescent="0.2">
      <c r="A35" s="76"/>
      <c r="B35" s="76"/>
      <c r="C35" s="76"/>
      <c r="D35" s="76"/>
      <c r="E35" s="76"/>
      <c r="F35" s="76"/>
      <c r="G35" s="76"/>
      <c r="H35" s="76"/>
      <c r="I35" s="76"/>
      <c r="J35" s="76"/>
      <c r="K35" s="76"/>
      <c r="L35" s="76"/>
      <c r="M35" s="76"/>
      <c r="N35" s="76"/>
    </row>
    <row r="36" spans="1:14" s="78" customFormat="1" ht="26" x14ac:dyDescent="0.3">
      <c r="A36" s="47"/>
      <c r="B36" s="215" t="s">
        <v>98</v>
      </c>
      <c r="C36" s="215"/>
      <c r="D36" s="215"/>
      <c r="E36" s="215"/>
      <c r="F36" s="215"/>
      <c r="G36" s="215"/>
      <c r="H36" s="215"/>
      <c r="I36" s="215"/>
      <c r="J36" s="215"/>
      <c r="K36" s="215"/>
      <c r="L36" s="215"/>
      <c r="M36" s="215"/>
      <c r="N36" s="48"/>
    </row>
    <row r="37" spans="1:14" x14ac:dyDescent="0.2">
      <c r="A37" s="12"/>
      <c r="B37" s="12"/>
      <c r="C37" s="12"/>
      <c r="D37" s="12"/>
      <c r="E37" s="12"/>
      <c r="F37" s="12"/>
      <c r="G37" s="12"/>
      <c r="H37" s="12"/>
      <c r="I37" s="12"/>
      <c r="J37" s="12"/>
      <c r="K37" s="12"/>
      <c r="L37" s="12"/>
      <c r="M37" s="12"/>
      <c r="N37" s="12"/>
    </row>
    <row r="38" spans="1:14" ht="25" customHeight="1" x14ac:dyDescent="0.2">
      <c r="A38" s="12"/>
      <c r="B38" s="214" t="s">
        <v>1</v>
      </c>
      <c r="C38" s="214"/>
      <c r="D38" s="214"/>
      <c r="E38" s="214"/>
      <c r="F38" s="214"/>
      <c r="G38" s="214"/>
      <c r="H38" s="214"/>
      <c r="I38" s="214"/>
      <c r="J38" s="214"/>
      <c r="K38" s="214"/>
      <c r="L38" s="214"/>
      <c r="M38" s="214"/>
      <c r="N38" s="12" t="s">
        <v>1005</v>
      </c>
    </row>
    <row r="39" spans="1:14" x14ac:dyDescent="0.2">
      <c r="A39" s="12"/>
      <c r="B39" s="114" t="s">
        <v>2</v>
      </c>
      <c r="C39" s="114" t="s">
        <v>144</v>
      </c>
      <c r="D39" s="114" t="s">
        <v>4</v>
      </c>
      <c r="E39" s="114" t="s">
        <v>7</v>
      </c>
      <c r="F39" s="114" t="s">
        <v>112</v>
      </c>
      <c r="G39" s="106"/>
      <c r="H39" s="106"/>
      <c r="I39" s="106"/>
      <c r="J39" s="106"/>
      <c r="K39" s="106"/>
      <c r="L39" s="106"/>
      <c r="M39" s="106"/>
      <c r="N39" s="12"/>
    </row>
    <row r="40" spans="1:14" x14ac:dyDescent="0.2">
      <c r="A40" s="12"/>
      <c r="B40" s="106" t="str">
        <f>'info, structure, parameters'!A91</f>
        <v>Total_WG</v>
      </c>
      <c r="C40" s="106">
        <f>'info, structure, parameters'!B91</f>
        <v>1000</v>
      </c>
      <c r="D40" s="106" t="str">
        <f>'info, structure, parameters'!C91</f>
        <v>kg ww</v>
      </c>
      <c r="E40" s="106" t="str">
        <f>'info, structure, parameters'!D91</f>
        <v xml:space="preserve">Total waste generation </v>
      </c>
      <c r="F40" s="106" t="str">
        <f>'info, structure, parameters'!E91</f>
        <v xml:space="preserve"> </v>
      </c>
      <c r="G40" s="106"/>
      <c r="H40" s="106"/>
      <c r="I40" s="106"/>
      <c r="J40" s="106"/>
      <c r="K40" s="106"/>
      <c r="L40" s="106"/>
      <c r="M40" s="106"/>
      <c r="N40" s="12"/>
    </row>
    <row r="41" spans="1:14" x14ac:dyDescent="0.2">
      <c r="A41" s="12"/>
      <c r="B41" s="106" t="str">
        <f>'info, structure, parameters'!A92</f>
        <v xml:space="preserve">Plastic_fraction </v>
      </c>
      <c r="C41" s="106">
        <f>'info, structure, parameters'!B92</f>
        <v>1</v>
      </c>
      <c r="D41" s="106" t="str">
        <f>'info, structure, parameters'!C92</f>
        <v>%ww</v>
      </c>
      <c r="E41" s="106" t="str">
        <f>'info, structure, parameters'!D92</f>
        <v>Share of plastic in the generated waste</v>
      </c>
      <c r="F41" s="106" t="str">
        <f>'info, structure, parameters'!E92</f>
        <v xml:space="preserve"> </v>
      </c>
      <c r="G41" s="106"/>
      <c r="H41" s="106"/>
      <c r="I41" s="106"/>
      <c r="J41" s="106"/>
      <c r="K41" s="106"/>
      <c r="L41" s="106"/>
      <c r="M41" s="106"/>
      <c r="N41" s="12"/>
    </row>
    <row r="42" spans="1:14" x14ac:dyDescent="0.2">
      <c r="A42" s="12"/>
      <c r="B42" s="106" t="str">
        <f>'info, structure, parameters'!A93</f>
        <v xml:space="preserve">Plastic_fraction_bottle </v>
      </c>
      <c r="C42" s="106">
        <f>'info, structure, parameters'!B93</f>
        <v>0.3</v>
      </c>
      <c r="D42" s="106" t="str">
        <f>'info, structure, parameters'!C93</f>
        <v>%ww</v>
      </c>
      <c r="E42" s="106" t="str">
        <f>'info, structure, parameters'!D93</f>
        <v xml:space="preserve">The bottle share of the plastic fraction </v>
      </c>
      <c r="F42" s="106">
        <f>'info, structure, parameters'!E93</f>
        <v>1</v>
      </c>
      <c r="G42" s="106"/>
      <c r="H42" s="106"/>
      <c r="I42" s="106"/>
      <c r="J42" s="106"/>
      <c r="K42" s="106"/>
      <c r="L42" s="106"/>
      <c r="M42" s="106"/>
      <c r="N42" s="12"/>
    </row>
    <row r="43" spans="1:14" x14ac:dyDescent="0.2">
      <c r="A43" s="12"/>
      <c r="B43" s="106" t="str">
        <f>'info, structure, parameters'!A94</f>
        <v xml:space="preserve">Plastic_fraction_rigid </v>
      </c>
      <c r="C43" s="106">
        <f>'info, structure, parameters'!B94</f>
        <v>0.2</v>
      </c>
      <c r="D43" s="106" t="str">
        <f>'info, structure, parameters'!C94</f>
        <v>%ww</v>
      </c>
      <c r="E43" s="106" t="str">
        <f>'info, structure, parameters'!D94</f>
        <v>The rigid share of the plastic fraction</v>
      </c>
      <c r="F43" s="106">
        <f>'info, structure, parameters'!E94</f>
        <v>1</v>
      </c>
      <c r="G43" s="106"/>
      <c r="H43" s="106"/>
      <c r="I43" s="106"/>
      <c r="J43" s="106"/>
      <c r="K43" s="106"/>
      <c r="L43" s="106"/>
      <c r="M43" s="106"/>
      <c r="N43" s="12"/>
    </row>
    <row r="44" spans="1:14" x14ac:dyDescent="0.2">
      <c r="A44" s="12"/>
      <c r="B44" s="106" t="str">
        <f>'info, structure, parameters'!A95</f>
        <v xml:space="preserve">Plastic_fraction_soft </v>
      </c>
      <c r="C44" s="106">
        <f>'info, structure, parameters'!B95</f>
        <v>0.4</v>
      </c>
      <c r="D44" s="106" t="str">
        <f>'info, structure, parameters'!C95</f>
        <v>%ww</v>
      </c>
      <c r="E44" s="106" t="str">
        <f>'info, structure, parameters'!D95</f>
        <v>The soft share of the plastic fraction</v>
      </c>
      <c r="F44" s="106">
        <f>'info, structure, parameters'!E95</f>
        <v>1</v>
      </c>
      <c r="G44" s="106"/>
      <c r="H44" s="106"/>
      <c r="I44" s="106"/>
      <c r="J44" s="106"/>
      <c r="K44" s="106"/>
      <c r="L44" s="106"/>
      <c r="M44" s="106"/>
      <c r="N44" s="12"/>
    </row>
    <row r="45" spans="1:14" x14ac:dyDescent="0.2">
      <c r="A45" s="12"/>
      <c r="B45" s="106" t="str">
        <f>'info, structure, parameters'!A96</f>
        <v xml:space="preserve">Plastic_fraction_other </v>
      </c>
      <c r="C45" s="106">
        <f>'info, structure, parameters'!B96</f>
        <v>9.9999999999999922E-2</v>
      </c>
      <c r="D45" s="106" t="str">
        <f>'info, structure, parameters'!C96</f>
        <v>%ww</v>
      </c>
      <c r="E45" s="106" t="str">
        <f>'info, structure, parameters'!D96</f>
        <v>The other share of the plastic fraction</v>
      </c>
      <c r="F45" s="106">
        <f>'info, structure, parameters'!E96</f>
        <v>1</v>
      </c>
      <c r="G45" s="106"/>
      <c r="H45" s="106"/>
      <c r="I45" s="106"/>
      <c r="J45" s="106"/>
      <c r="K45" s="106"/>
      <c r="L45" s="106"/>
      <c r="M45" s="106"/>
      <c r="N45" s="12"/>
    </row>
    <row r="46" spans="1:14" x14ac:dyDescent="0.2">
      <c r="A46" s="12"/>
      <c r="B46" s="106" t="str">
        <f>'info, structure, parameters'!A97</f>
        <v xml:space="preserve">bottle_PET </v>
      </c>
      <c r="C46" s="106">
        <f>'info, structure, parameters'!B97</f>
        <v>0.23</v>
      </c>
      <c r="D46" s="106" t="str">
        <f>'info, structure, parameters'!C97</f>
        <v>%ww</v>
      </c>
      <c r="E46" s="106" t="str">
        <f>'info, structure, parameters'!D97</f>
        <v>The PET share of the bottle fraction</v>
      </c>
      <c r="F46" s="106">
        <f>'info, structure, parameters'!E97</f>
        <v>1</v>
      </c>
      <c r="G46" s="106"/>
      <c r="H46" s="106"/>
      <c r="I46" s="106"/>
      <c r="J46" s="106"/>
      <c r="K46" s="106"/>
      <c r="L46" s="106"/>
      <c r="M46" s="106"/>
      <c r="N46" s="12"/>
    </row>
    <row r="47" spans="1:14" x14ac:dyDescent="0.2">
      <c r="A47" s="12"/>
      <c r="B47" s="106" t="str">
        <f>'info, structure, parameters'!A98</f>
        <v xml:space="preserve">bottle_PE </v>
      </c>
      <c r="C47" s="106">
        <f>'info, structure, parameters'!B98</f>
        <v>7.0000000000000007E-2</v>
      </c>
      <c r="D47" s="106" t="str">
        <f>'info, structure, parameters'!C98</f>
        <v>%ww</v>
      </c>
      <c r="E47" s="106" t="str">
        <f>'info, structure, parameters'!D98</f>
        <v>The PE share of the bottle fraction</v>
      </c>
      <c r="F47" s="106">
        <f>'info, structure, parameters'!E98</f>
        <v>1</v>
      </c>
      <c r="G47" s="106"/>
      <c r="H47" s="106"/>
      <c r="I47" s="106"/>
      <c r="J47" s="106"/>
      <c r="K47" s="106"/>
      <c r="L47" s="106"/>
      <c r="M47" s="106"/>
      <c r="N47" s="12"/>
    </row>
    <row r="48" spans="1:14" x14ac:dyDescent="0.2">
      <c r="A48" s="12"/>
      <c r="B48" s="106" t="str">
        <f>'info, structure, parameters'!A99</f>
        <v xml:space="preserve">bottle_PP </v>
      </c>
      <c r="C48" s="106">
        <f>'info, structure, parameters'!B99</f>
        <v>0</v>
      </c>
      <c r="D48" s="106" t="str">
        <f>'info, structure, parameters'!C99</f>
        <v>%ww</v>
      </c>
      <c r="E48" s="106" t="str">
        <f>'info, structure, parameters'!D99</f>
        <v>The PP share of the bottle fraction</v>
      </c>
      <c r="F48" s="106">
        <f>'info, structure, parameters'!E99</f>
        <v>1</v>
      </c>
      <c r="G48" s="106"/>
      <c r="H48" s="106"/>
      <c r="I48" s="106"/>
      <c r="J48" s="106"/>
      <c r="K48" s="106"/>
      <c r="L48" s="106"/>
      <c r="M48" s="106"/>
      <c r="N48" s="12"/>
    </row>
    <row r="49" spans="1:14" x14ac:dyDescent="0.2">
      <c r="A49" s="12"/>
      <c r="B49" s="106" t="str">
        <f>'info, structure, parameters'!A100</f>
        <v xml:space="preserve">bottle_PS </v>
      </c>
      <c r="C49" s="106">
        <f>'info, structure, parameters'!B100</f>
        <v>0</v>
      </c>
      <c r="D49" s="106" t="str">
        <f>'info, structure, parameters'!C100</f>
        <v>%ww</v>
      </c>
      <c r="E49" s="106" t="str">
        <f>'info, structure, parameters'!D100</f>
        <v>The PS share of the bottle fraction</v>
      </c>
      <c r="F49" s="106">
        <f>'info, structure, parameters'!E100</f>
        <v>1</v>
      </c>
      <c r="G49" s="106"/>
      <c r="H49" s="106"/>
      <c r="I49" s="106"/>
      <c r="J49" s="106"/>
      <c r="K49" s="106"/>
      <c r="L49" s="106"/>
      <c r="M49" s="106"/>
      <c r="N49" s="12"/>
    </row>
    <row r="50" spans="1:14" x14ac:dyDescent="0.2">
      <c r="A50" s="12"/>
      <c r="B50" s="106" t="str">
        <f>'info, structure, parameters'!A101</f>
        <v xml:space="preserve">bottle_Oth </v>
      </c>
      <c r="C50" s="106">
        <f>'info, structure, parameters'!B101</f>
        <v>0</v>
      </c>
      <c r="D50" s="106" t="str">
        <f>'info, structure, parameters'!C101</f>
        <v>%ww</v>
      </c>
      <c r="E50" s="106" t="str">
        <f>'info, structure, parameters'!D101</f>
        <v>The Other share of the bottle fraction</v>
      </c>
      <c r="F50" s="106">
        <f>'info, structure, parameters'!E101</f>
        <v>1</v>
      </c>
      <c r="G50" s="106"/>
      <c r="H50" s="106"/>
      <c r="I50" s="106"/>
      <c r="J50" s="106"/>
      <c r="K50" s="106"/>
      <c r="L50" s="106"/>
      <c r="M50" s="106"/>
      <c r="N50" s="12"/>
    </row>
    <row r="51" spans="1:14" x14ac:dyDescent="0.2">
      <c r="A51" s="12"/>
      <c r="B51" s="106" t="str">
        <f>'info, structure, parameters'!A102</f>
        <v xml:space="preserve">rigid_PET </v>
      </c>
      <c r="C51" s="106">
        <f>'info, structure, parameters'!B102</f>
        <v>0.04</v>
      </c>
      <c r="D51" s="106" t="str">
        <f>'info, structure, parameters'!C102</f>
        <v>%ww</v>
      </c>
      <c r="E51" s="106" t="str">
        <f>'info, structure, parameters'!D102</f>
        <v>The PET share of the rigid fraction</v>
      </c>
      <c r="F51" s="106">
        <f>'info, structure, parameters'!E102</f>
        <v>1</v>
      </c>
      <c r="G51" s="106"/>
      <c r="H51" s="106"/>
      <c r="I51" s="106"/>
      <c r="J51" s="106"/>
      <c r="K51" s="106"/>
      <c r="L51" s="106"/>
      <c r="M51" s="106"/>
      <c r="N51" s="12"/>
    </row>
    <row r="52" spans="1:14" x14ac:dyDescent="0.2">
      <c r="A52" s="12"/>
      <c r="B52" s="106" t="str">
        <f>'info, structure, parameters'!A103</f>
        <v xml:space="preserve">rigid_PE </v>
      </c>
      <c r="C52" s="106">
        <f>'info, structure, parameters'!B103</f>
        <v>0.03</v>
      </c>
      <c r="D52" s="106" t="str">
        <f>'info, structure, parameters'!C103</f>
        <v>%ww</v>
      </c>
      <c r="E52" s="106" t="str">
        <f>'info, structure, parameters'!D103</f>
        <v>The PE share of the rigid fraction</v>
      </c>
      <c r="F52" s="106">
        <f>'info, structure, parameters'!E103</f>
        <v>1</v>
      </c>
      <c r="G52" s="106"/>
      <c r="H52" s="106"/>
      <c r="I52" s="106"/>
      <c r="J52" s="106"/>
      <c r="K52" s="106"/>
      <c r="L52" s="106"/>
      <c r="M52" s="106"/>
      <c r="N52" s="12"/>
    </row>
    <row r="53" spans="1:14" x14ac:dyDescent="0.2">
      <c r="A53" s="12"/>
      <c r="B53" s="106" t="str">
        <f>'info, structure, parameters'!A104</f>
        <v xml:space="preserve">rigid_PP </v>
      </c>
      <c r="C53" s="106">
        <f>'info, structure, parameters'!B104</f>
        <v>7.0000000000000007E-2</v>
      </c>
      <c r="D53" s="106" t="str">
        <f>'info, structure, parameters'!C104</f>
        <v>%ww</v>
      </c>
      <c r="E53" s="106" t="str">
        <f>'info, structure, parameters'!D104</f>
        <v>The PP share of the rigid fraction</v>
      </c>
      <c r="F53" s="106">
        <f>'info, structure, parameters'!E104</f>
        <v>1</v>
      </c>
      <c r="G53" s="106"/>
      <c r="H53" s="106"/>
      <c r="I53" s="106"/>
      <c r="J53" s="106"/>
      <c r="K53" s="106"/>
      <c r="L53" s="106"/>
      <c r="M53" s="106"/>
      <c r="N53" s="12"/>
    </row>
    <row r="54" spans="1:14" x14ac:dyDescent="0.2">
      <c r="A54" s="12"/>
      <c r="B54" s="106" t="str">
        <f>'info, structure, parameters'!A105</f>
        <v xml:space="preserve">rigid_PS </v>
      </c>
      <c r="C54" s="106">
        <f>'info, structure, parameters'!B105</f>
        <v>0.01</v>
      </c>
      <c r="D54" s="106" t="str">
        <f>'info, structure, parameters'!C105</f>
        <v>%ww</v>
      </c>
      <c r="E54" s="106" t="str">
        <f>'info, structure, parameters'!D105</f>
        <v>The PS share of the rigid fraction</v>
      </c>
      <c r="F54" s="106">
        <f>'info, structure, parameters'!E105</f>
        <v>1</v>
      </c>
      <c r="G54" s="106"/>
      <c r="H54" s="106"/>
      <c r="I54" s="106"/>
      <c r="J54" s="106"/>
      <c r="K54" s="106"/>
      <c r="L54" s="106"/>
      <c r="M54" s="106"/>
      <c r="N54" s="12"/>
    </row>
    <row r="55" spans="1:14" x14ac:dyDescent="0.2">
      <c r="A55" s="12"/>
      <c r="B55" s="106" t="str">
        <f>'info, structure, parameters'!A106</f>
        <v xml:space="preserve">rigid_Oth </v>
      </c>
      <c r="C55" s="106">
        <f>'info, structure, parameters'!B106</f>
        <v>4.9999999999999989E-2</v>
      </c>
      <c r="D55" s="106" t="str">
        <f>'info, structure, parameters'!C106</f>
        <v>%ww</v>
      </c>
      <c r="E55" s="106" t="str">
        <f>'info, structure, parameters'!D106</f>
        <v>The Other share of the rigid fraction</v>
      </c>
      <c r="F55" s="106">
        <f>'info, structure, parameters'!E106</f>
        <v>1</v>
      </c>
      <c r="G55" s="106"/>
      <c r="H55" s="106"/>
      <c r="I55" s="106"/>
      <c r="J55" s="106"/>
      <c r="K55" s="106"/>
      <c r="L55" s="106"/>
      <c r="M55" s="106"/>
      <c r="N55" s="12"/>
    </row>
    <row r="56" spans="1:14" x14ac:dyDescent="0.2">
      <c r="A56" s="12"/>
      <c r="B56" s="106" t="str">
        <f>'info, structure, parameters'!A107</f>
        <v xml:space="preserve">soft_PET </v>
      </c>
      <c r="C56" s="106">
        <f>'info, structure, parameters'!B107</f>
        <v>0</v>
      </c>
      <c r="D56" s="106" t="str">
        <f>'info, structure, parameters'!C107</f>
        <v>%ww</v>
      </c>
      <c r="E56" s="106" t="str">
        <f>'info, structure, parameters'!D107</f>
        <v>The PET share of the soft fraction</v>
      </c>
      <c r="F56" s="106">
        <f>'info, structure, parameters'!E107</f>
        <v>1</v>
      </c>
      <c r="G56" s="106"/>
      <c r="H56" s="106"/>
      <c r="I56" s="106"/>
      <c r="J56" s="106"/>
      <c r="K56" s="106"/>
      <c r="L56" s="106"/>
      <c r="M56" s="106"/>
      <c r="N56" s="12"/>
    </row>
    <row r="57" spans="1:14" x14ac:dyDescent="0.2">
      <c r="A57" s="12"/>
      <c r="B57" s="106" t="str">
        <f>'info, structure, parameters'!A108</f>
        <v xml:space="preserve">soft_PE </v>
      </c>
      <c r="C57" s="106">
        <f>'info, structure, parameters'!B108</f>
        <v>0.3</v>
      </c>
      <c r="D57" s="106" t="str">
        <f>'info, structure, parameters'!C108</f>
        <v>%ww</v>
      </c>
      <c r="E57" s="106" t="str">
        <f>'info, structure, parameters'!D108</f>
        <v>The PE share of the soft fraction</v>
      </c>
      <c r="F57" s="106">
        <f>'info, structure, parameters'!E108</f>
        <v>1</v>
      </c>
      <c r="G57" s="106"/>
      <c r="H57" s="106"/>
      <c r="I57" s="106"/>
      <c r="J57" s="106"/>
      <c r="K57" s="106"/>
      <c r="L57" s="106"/>
      <c r="M57" s="106"/>
      <c r="N57" s="12"/>
    </row>
    <row r="58" spans="1:14" x14ac:dyDescent="0.2">
      <c r="A58" s="12"/>
      <c r="B58" s="106" t="str">
        <f>'info, structure, parameters'!A109</f>
        <v xml:space="preserve">soft_PP </v>
      </c>
      <c r="C58" s="106">
        <f>'info, structure, parameters'!B109</f>
        <v>0</v>
      </c>
      <c r="D58" s="106" t="str">
        <f>'info, structure, parameters'!C109</f>
        <v>%ww</v>
      </c>
      <c r="E58" s="106" t="str">
        <f>'info, structure, parameters'!D109</f>
        <v>The PP share of the soft fraction</v>
      </c>
      <c r="F58" s="106">
        <f>'info, structure, parameters'!E109</f>
        <v>1</v>
      </c>
      <c r="G58" s="106"/>
      <c r="H58" s="106"/>
      <c r="I58" s="106"/>
      <c r="J58" s="106"/>
      <c r="K58" s="106"/>
      <c r="L58" s="106"/>
      <c r="M58" s="106"/>
      <c r="N58" s="12"/>
    </row>
    <row r="59" spans="1:14" x14ac:dyDescent="0.2">
      <c r="A59" s="12"/>
      <c r="B59" s="106" t="str">
        <f>'info, structure, parameters'!A110</f>
        <v xml:space="preserve">soft_PS </v>
      </c>
      <c r="C59" s="106">
        <f>'info, structure, parameters'!B110</f>
        <v>0</v>
      </c>
      <c r="D59" s="106" t="str">
        <f>'info, structure, parameters'!C110</f>
        <v>%ww</v>
      </c>
      <c r="E59" s="106" t="str">
        <f>'info, structure, parameters'!D110</f>
        <v>The PS share of the soft fraction</v>
      </c>
      <c r="F59" s="106">
        <f>'info, structure, parameters'!E110</f>
        <v>1</v>
      </c>
      <c r="G59" s="106"/>
      <c r="H59" s="106"/>
      <c r="I59" s="106"/>
      <c r="J59" s="106"/>
      <c r="K59" s="106"/>
      <c r="L59" s="106"/>
      <c r="M59" s="106"/>
      <c r="N59" s="12"/>
    </row>
    <row r="60" spans="1:14" x14ac:dyDescent="0.2">
      <c r="A60" s="12"/>
      <c r="B60" s="106" t="str">
        <f>'info, structure, parameters'!A111</f>
        <v xml:space="preserve">soft_Oth </v>
      </c>
      <c r="C60" s="106">
        <f>'info, structure, parameters'!B111</f>
        <v>0.10000000000000003</v>
      </c>
      <c r="D60" s="106" t="str">
        <f>'info, structure, parameters'!C111</f>
        <v>%ww</v>
      </c>
      <c r="E60" s="106" t="str">
        <f>'info, structure, parameters'!D111</f>
        <v>The Other share of the soft fraction</v>
      </c>
      <c r="F60" s="106">
        <f>'info, structure, parameters'!E111</f>
        <v>1</v>
      </c>
      <c r="G60" s="106"/>
      <c r="H60" s="106"/>
      <c r="I60" s="106"/>
      <c r="J60" s="106"/>
      <c r="K60" s="106"/>
      <c r="L60" s="106"/>
      <c r="M60" s="106"/>
      <c r="N60" s="12"/>
    </row>
    <row r="61" spans="1:14" x14ac:dyDescent="0.2">
      <c r="A61" s="12"/>
      <c r="B61" s="106" t="str">
        <f>'info, structure, parameters'!A112</f>
        <v xml:space="preserve">other_PET </v>
      </c>
      <c r="C61" s="106">
        <f>'info, structure, parameters'!B112</f>
        <v>0</v>
      </c>
      <c r="D61" s="106" t="str">
        <f>'info, structure, parameters'!C112</f>
        <v>%ww</v>
      </c>
      <c r="E61" s="106" t="str">
        <f>'info, structure, parameters'!D112</f>
        <v>The PET share of the other fraction</v>
      </c>
      <c r="F61" s="106">
        <f>'info, structure, parameters'!E112</f>
        <v>1</v>
      </c>
      <c r="G61" s="106"/>
      <c r="H61" s="106"/>
      <c r="I61" s="106"/>
      <c r="J61" s="106"/>
      <c r="K61" s="106"/>
      <c r="L61" s="106"/>
      <c r="M61" s="106"/>
      <c r="N61" s="12"/>
    </row>
    <row r="62" spans="1:14" x14ac:dyDescent="0.2">
      <c r="A62" s="12"/>
      <c r="B62" s="106" t="str">
        <f>'info, structure, parameters'!A113</f>
        <v xml:space="preserve">other_PE </v>
      </c>
      <c r="C62" s="106">
        <f>'info, structure, parameters'!B113</f>
        <v>0</v>
      </c>
      <c r="D62" s="106" t="str">
        <f>'info, structure, parameters'!C113</f>
        <v>%ww</v>
      </c>
      <c r="E62" s="106" t="str">
        <f>'info, structure, parameters'!D113</f>
        <v>The PE share of the other fraction</v>
      </c>
      <c r="F62" s="106">
        <f>'info, structure, parameters'!E113</f>
        <v>1</v>
      </c>
      <c r="G62" s="106"/>
      <c r="H62" s="106"/>
      <c r="I62" s="106"/>
      <c r="J62" s="106"/>
      <c r="K62" s="106"/>
      <c r="L62" s="106"/>
      <c r="M62" s="106"/>
      <c r="N62" s="12"/>
    </row>
    <row r="63" spans="1:14" x14ac:dyDescent="0.2">
      <c r="A63" s="12"/>
      <c r="B63" s="106" t="str">
        <f>'info, structure, parameters'!A114</f>
        <v xml:space="preserve">other_PP </v>
      </c>
      <c r="C63" s="106">
        <f>'info, structure, parameters'!B114</f>
        <v>0</v>
      </c>
      <c r="D63" s="106" t="str">
        <f>'info, structure, parameters'!C114</f>
        <v>%ww</v>
      </c>
      <c r="E63" s="106" t="str">
        <f>'info, structure, parameters'!D114</f>
        <v>The PP share of the other fraction</v>
      </c>
      <c r="F63" s="106">
        <f>'info, structure, parameters'!E114</f>
        <v>1</v>
      </c>
      <c r="G63" s="106"/>
      <c r="H63" s="106"/>
      <c r="I63" s="106"/>
      <c r="J63" s="106"/>
      <c r="K63" s="106"/>
      <c r="L63" s="106"/>
      <c r="M63" s="106"/>
      <c r="N63" s="12"/>
    </row>
    <row r="64" spans="1:14" x14ac:dyDescent="0.2">
      <c r="A64" s="12"/>
      <c r="B64" s="106" t="str">
        <f>'info, structure, parameters'!A115</f>
        <v xml:space="preserve">other_PS </v>
      </c>
      <c r="C64" s="106">
        <f>'info, structure, parameters'!B115</f>
        <v>0</v>
      </c>
      <c r="D64" s="106" t="str">
        <f>'info, structure, parameters'!C115</f>
        <v>%ww</v>
      </c>
      <c r="E64" s="106" t="str">
        <f>'info, structure, parameters'!D115</f>
        <v>The PS share of the other fraction</v>
      </c>
      <c r="F64" s="106">
        <f>'info, structure, parameters'!E115</f>
        <v>1</v>
      </c>
      <c r="G64" s="106"/>
      <c r="H64" s="106"/>
      <c r="I64" s="106"/>
      <c r="J64" s="106"/>
      <c r="K64" s="106"/>
      <c r="L64" s="106"/>
      <c r="M64" s="106"/>
      <c r="N64" s="12"/>
    </row>
    <row r="65" spans="1:14" x14ac:dyDescent="0.2">
      <c r="A65" s="12"/>
      <c r="B65" s="106" t="str">
        <f>'info, structure, parameters'!A116</f>
        <v xml:space="preserve">other_Oth </v>
      </c>
      <c r="C65" s="106">
        <f>'info, structure, parameters'!B116</f>
        <v>9.9999999999999922E-2</v>
      </c>
      <c r="D65" s="106" t="str">
        <f>'info, structure, parameters'!C116</f>
        <v>%ww</v>
      </c>
      <c r="E65" s="106" t="str">
        <f>'info, structure, parameters'!D116</f>
        <v>The Other share of the other fraction</v>
      </c>
      <c r="F65" s="106">
        <f>'info, structure, parameters'!E116</f>
        <v>1</v>
      </c>
      <c r="G65" s="106"/>
      <c r="H65" s="106"/>
      <c r="I65" s="106"/>
      <c r="J65" s="106"/>
      <c r="K65" s="106"/>
      <c r="L65" s="106"/>
      <c r="M65" s="106"/>
      <c r="N65" s="12"/>
    </row>
    <row r="66" spans="1:14" ht="25" customHeight="1" x14ac:dyDescent="0.2">
      <c r="A66" s="12"/>
      <c r="B66" s="214" t="s">
        <v>44</v>
      </c>
      <c r="C66" s="214"/>
      <c r="D66" s="214"/>
      <c r="E66" s="214"/>
      <c r="F66" s="214"/>
      <c r="G66" s="214"/>
      <c r="H66" s="214"/>
      <c r="I66" s="214"/>
      <c r="J66" s="214"/>
      <c r="K66" s="214"/>
      <c r="L66" s="214"/>
      <c r="M66" s="214"/>
      <c r="N66" s="12"/>
    </row>
    <row r="67" spans="1:14" ht="25" customHeight="1" x14ac:dyDescent="0.2">
      <c r="A67" s="12"/>
      <c r="B67" s="214" t="s">
        <v>47</v>
      </c>
      <c r="C67" s="214"/>
      <c r="D67" s="214"/>
      <c r="E67" s="214"/>
      <c r="F67" s="214"/>
      <c r="G67" s="223"/>
      <c r="H67" s="214" t="s">
        <v>48</v>
      </c>
      <c r="I67" s="214"/>
      <c r="J67" s="214"/>
      <c r="K67" s="214"/>
      <c r="L67" s="214"/>
      <c r="M67" s="214"/>
      <c r="N67" s="12"/>
    </row>
    <row r="68" spans="1:14" x14ac:dyDescent="0.2">
      <c r="A68" s="12"/>
      <c r="B68" s="2" t="s">
        <v>21</v>
      </c>
      <c r="C68" s="3" t="s">
        <v>20</v>
      </c>
      <c r="D68" s="2" t="s">
        <v>99</v>
      </c>
      <c r="E68" s="2" t="s">
        <v>3</v>
      </c>
      <c r="F68" s="2" t="s">
        <v>4</v>
      </c>
      <c r="G68" s="4" t="s">
        <v>43</v>
      </c>
      <c r="H68" s="2" t="s">
        <v>21</v>
      </c>
      <c r="I68" s="3" t="s">
        <v>20</v>
      </c>
      <c r="J68" s="2" t="str">
        <f>D68</f>
        <v>Name</v>
      </c>
      <c r="K68" s="2" t="s">
        <v>3</v>
      </c>
      <c r="L68" s="2" t="s">
        <v>4</v>
      </c>
      <c r="M68" s="2" t="s">
        <v>43</v>
      </c>
      <c r="N68" s="12"/>
    </row>
    <row r="69" spans="1:14" x14ac:dyDescent="0.2">
      <c r="A69" s="12"/>
      <c r="B69" s="220" t="s">
        <v>14</v>
      </c>
      <c r="C69" s="6" t="s">
        <v>16</v>
      </c>
      <c r="D69" t="s">
        <v>1212</v>
      </c>
      <c r="E69">
        <f t="shared" ref="E69:E83" si="0">C46*$C$40</f>
        <v>230</v>
      </c>
      <c r="F69" t="s">
        <v>10</v>
      </c>
      <c r="G69" s="32" t="str">
        <f t="shared" ref="G69:G83" si="1">B46&amp;" * "&amp;$B$40</f>
        <v>bottle_PET  * Total_WG</v>
      </c>
      <c r="H69" s="220" t="s">
        <v>14</v>
      </c>
      <c r="I69" s="6" t="str">
        <f>C69</f>
        <v>PET</v>
      </c>
      <c r="J69" t="s">
        <v>1213</v>
      </c>
      <c r="K69">
        <v>0</v>
      </c>
      <c r="L69" t="s">
        <v>10</v>
      </c>
      <c r="M69" t="s">
        <v>169</v>
      </c>
      <c r="N69" s="12"/>
    </row>
    <row r="70" spans="1:14" x14ac:dyDescent="0.2">
      <c r="A70" s="12"/>
      <c r="B70" s="220"/>
      <c r="C70" s="6" t="s">
        <v>22</v>
      </c>
      <c r="D70" t="s">
        <v>1214</v>
      </c>
      <c r="E70">
        <f t="shared" si="0"/>
        <v>70</v>
      </c>
      <c r="F70" t="s">
        <v>10</v>
      </c>
      <c r="G70" s="32" t="str">
        <f t="shared" si="1"/>
        <v>bottle_PE  * Total_WG</v>
      </c>
      <c r="H70" s="220"/>
      <c r="I70" s="6" t="str">
        <f t="shared" ref="I70:I88" si="2">C70</f>
        <v>PE</v>
      </c>
      <c r="J70" t="s">
        <v>1215</v>
      </c>
      <c r="K70">
        <v>0</v>
      </c>
      <c r="L70" t="s">
        <v>10</v>
      </c>
      <c r="M70" t="s">
        <v>169</v>
      </c>
      <c r="N70" s="12"/>
    </row>
    <row r="71" spans="1:14" x14ac:dyDescent="0.2">
      <c r="A71" s="12"/>
      <c r="B71" s="220"/>
      <c r="C71" s="6" t="s">
        <v>17</v>
      </c>
      <c r="D71" t="s">
        <v>1216</v>
      </c>
      <c r="E71">
        <f t="shared" si="0"/>
        <v>0</v>
      </c>
      <c r="F71" t="s">
        <v>10</v>
      </c>
      <c r="G71" s="32" t="str">
        <f t="shared" si="1"/>
        <v>bottle_PP  * Total_WG</v>
      </c>
      <c r="H71" s="220"/>
      <c r="I71" s="6" t="str">
        <f t="shared" si="2"/>
        <v>PP</v>
      </c>
      <c r="J71" t="s">
        <v>1217</v>
      </c>
      <c r="K71">
        <v>0</v>
      </c>
      <c r="L71" t="s">
        <v>10</v>
      </c>
      <c r="M71" t="s">
        <v>169</v>
      </c>
      <c r="N71" s="12"/>
    </row>
    <row r="72" spans="1:14" x14ac:dyDescent="0.2">
      <c r="A72" s="12"/>
      <c r="B72" s="220"/>
      <c r="C72" t="s">
        <v>18</v>
      </c>
      <c r="D72" t="s">
        <v>1218</v>
      </c>
      <c r="E72">
        <f t="shared" si="0"/>
        <v>0</v>
      </c>
      <c r="F72" t="s">
        <v>10</v>
      </c>
      <c r="G72" s="32" t="str">
        <f t="shared" si="1"/>
        <v>bottle_PS  * Total_WG</v>
      </c>
      <c r="H72" s="220"/>
      <c r="I72" s="6" t="str">
        <f t="shared" si="2"/>
        <v>PS</v>
      </c>
      <c r="J72" t="s">
        <v>1219</v>
      </c>
      <c r="K72">
        <f>C49*$C$40</f>
        <v>0</v>
      </c>
      <c r="L72" t="s">
        <v>10</v>
      </c>
      <c r="M72" t="s">
        <v>169</v>
      </c>
      <c r="N72" s="12"/>
    </row>
    <row r="73" spans="1:14" x14ac:dyDescent="0.2">
      <c r="A73" s="12"/>
      <c r="B73" s="220"/>
      <c r="C73" t="s">
        <v>19</v>
      </c>
      <c r="D73" t="s">
        <v>1220</v>
      </c>
      <c r="E73">
        <f t="shared" si="0"/>
        <v>0</v>
      </c>
      <c r="F73" t="s">
        <v>10</v>
      </c>
      <c r="G73" s="32" t="str">
        <f t="shared" si="1"/>
        <v>bottle_Oth  * Total_WG</v>
      </c>
      <c r="H73" s="220"/>
      <c r="I73" s="6" t="str">
        <f t="shared" si="2"/>
        <v>Other</v>
      </c>
      <c r="J73" t="s">
        <v>1221</v>
      </c>
      <c r="K73">
        <f>C50*$C$40</f>
        <v>0</v>
      </c>
      <c r="L73" t="s">
        <v>10</v>
      </c>
      <c r="M73" t="s">
        <v>169</v>
      </c>
      <c r="N73" s="12"/>
    </row>
    <row r="74" spans="1:14" x14ac:dyDescent="0.2">
      <c r="A74" s="12"/>
      <c r="B74" s="75" t="s">
        <v>15</v>
      </c>
      <c r="C74" s="6" t="str">
        <f>C69</f>
        <v>PET</v>
      </c>
      <c r="D74" t="s">
        <v>1222</v>
      </c>
      <c r="E74">
        <f t="shared" si="0"/>
        <v>40</v>
      </c>
      <c r="F74" t="s">
        <v>10</v>
      </c>
      <c r="G74" s="32" t="str">
        <f t="shared" si="1"/>
        <v>rigid_PET  * Total_WG</v>
      </c>
      <c r="H74" s="75" t="s">
        <v>15</v>
      </c>
      <c r="I74" s="6" t="str">
        <f t="shared" si="2"/>
        <v>PET</v>
      </c>
      <c r="J74" t="s">
        <v>1223</v>
      </c>
      <c r="K74">
        <v>0</v>
      </c>
      <c r="L74" t="s">
        <v>10</v>
      </c>
      <c r="M74" t="s">
        <v>169</v>
      </c>
      <c r="N74" s="12"/>
    </row>
    <row r="75" spans="1:14" x14ac:dyDescent="0.2">
      <c r="A75" s="12"/>
      <c r="B75" s="75"/>
      <c r="C75" s="6" t="str">
        <f t="shared" ref="C75:C88" si="3">C70</f>
        <v>PE</v>
      </c>
      <c r="D75" t="s">
        <v>1224</v>
      </c>
      <c r="E75">
        <f t="shared" si="0"/>
        <v>30</v>
      </c>
      <c r="F75" t="s">
        <v>10</v>
      </c>
      <c r="G75" s="32" t="str">
        <f t="shared" si="1"/>
        <v>rigid_PE  * Total_WG</v>
      </c>
      <c r="H75" s="75"/>
      <c r="I75" s="6" t="str">
        <f t="shared" si="2"/>
        <v>PE</v>
      </c>
      <c r="J75" t="s">
        <v>1225</v>
      </c>
      <c r="K75">
        <v>0</v>
      </c>
      <c r="L75" t="s">
        <v>10</v>
      </c>
      <c r="M75" t="s">
        <v>169</v>
      </c>
      <c r="N75" s="12"/>
    </row>
    <row r="76" spans="1:14" x14ac:dyDescent="0.2">
      <c r="A76" s="12"/>
      <c r="B76" s="75"/>
      <c r="C76" s="6" t="str">
        <f t="shared" si="3"/>
        <v>PP</v>
      </c>
      <c r="D76" t="s">
        <v>1226</v>
      </c>
      <c r="E76">
        <f t="shared" si="0"/>
        <v>70</v>
      </c>
      <c r="F76" t="s">
        <v>10</v>
      </c>
      <c r="G76" s="32" t="str">
        <f t="shared" si="1"/>
        <v>rigid_PP  * Total_WG</v>
      </c>
      <c r="H76" s="75"/>
      <c r="I76" s="6" t="str">
        <f t="shared" si="2"/>
        <v>PP</v>
      </c>
      <c r="J76" t="s">
        <v>1227</v>
      </c>
      <c r="K76">
        <v>0</v>
      </c>
      <c r="L76" t="s">
        <v>10</v>
      </c>
      <c r="M76" t="s">
        <v>169</v>
      </c>
      <c r="N76" s="12"/>
    </row>
    <row r="77" spans="1:14" ht="16.5" customHeight="1" x14ac:dyDescent="0.2">
      <c r="A77" s="12"/>
      <c r="B77" s="75"/>
      <c r="C77" s="6" t="str">
        <f t="shared" si="3"/>
        <v>PS</v>
      </c>
      <c r="D77" t="s">
        <v>1228</v>
      </c>
      <c r="E77">
        <f t="shared" si="0"/>
        <v>10</v>
      </c>
      <c r="F77" t="s">
        <v>10</v>
      </c>
      <c r="G77" s="32" t="str">
        <f t="shared" si="1"/>
        <v>rigid_PS  * Total_WG</v>
      </c>
      <c r="H77" s="75"/>
      <c r="I77" s="6" t="str">
        <f t="shared" si="2"/>
        <v>PS</v>
      </c>
      <c r="J77" t="s">
        <v>1229</v>
      </c>
      <c r="K77">
        <v>0</v>
      </c>
      <c r="L77" t="s">
        <v>10</v>
      </c>
      <c r="M77" t="s">
        <v>169</v>
      </c>
      <c r="N77" s="12"/>
    </row>
    <row r="78" spans="1:14" ht="16.5" customHeight="1" x14ac:dyDescent="0.2">
      <c r="A78" s="12"/>
      <c r="B78" s="75"/>
      <c r="C78" s="6" t="str">
        <f t="shared" si="3"/>
        <v>Other</v>
      </c>
      <c r="D78" t="s">
        <v>1230</v>
      </c>
      <c r="E78">
        <f t="shared" si="0"/>
        <v>49.999999999999986</v>
      </c>
      <c r="F78" t="s">
        <v>10</v>
      </c>
      <c r="G78" s="32" t="str">
        <f t="shared" si="1"/>
        <v>rigid_Oth  * Total_WG</v>
      </c>
      <c r="H78" s="75"/>
      <c r="I78" s="6" t="str">
        <f t="shared" si="2"/>
        <v>Other</v>
      </c>
      <c r="J78" t="s">
        <v>1231</v>
      </c>
      <c r="K78">
        <v>0</v>
      </c>
      <c r="L78" t="s">
        <v>10</v>
      </c>
      <c r="M78" t="s">
        <v>169</v>
      </c>
      <c r="N78" s="12"/>
    </row>
    <row r="79" spans="1:14" ht="16.5" customHeight="1" x14ac:dyDescent="0.2">
      <c r="A79" s="12"/>
      <c r="B79" s="220" t="s">
        <v>42</v>
      </c>
      <c r="C79" s="6" t="str">
        <f t="shared" si="3"/>
        <v>PET</v>
      </c>
      <c r="D79" t="s">
        <v>1232</v>
      </c>
      <c r="E79">
        <f t="shared" si="0"/>
        <v>0</v>
      </c>
      <c r="F79" t="s">
        <v>10</v>
      </c>
      <c r="G79" s="32" t="str">
        <f t="shared" si="1"/>
        <v>soft_PET  * Total_WG</v>
      </c>
      <c r="H79" s="220" t="s">
        <v>42</v>
      </c>
      <c r="I79" s="6" t="str">
        <f t="shared" si="2"/>
        <v>PET</v>
      </c>
      <c r="J79" t="s">
        <v>1233</v>
      </c>
      <c r="K79">
        <v>0</v>
      </c>
      <c r="L79" t="s">
        <v>10</v>
      </c>
      <c r="M79" t="s">
        <v>169</v>
      </c>
      <c r="N79" s="12"/>
    </row>
    <row r="80" spans="1:14" ht="16.5" customHeight="1" x14ac:dyDescent="0.2">
      <c r="A80" s="12"/>
      <c r="B80" s="220"/>
      <c r="C80" s="6" t="str">
        <f t="shared" si="3"/>
        <v>PE</v>
      </c>
      <c r="D80" t="s">
        <v>1234</v>
      </c>
      <c r="E80">
        <f t="shared" si="0"/>
        <v>300</v>
      </c>
      <c r="F80" t="s">
        <v>10</v>
      </c>
      <c r="G80" s="32" t="str">
        <f t="shared" si="1"/>
        <v>soft_PE  * Total_WG</v>
      </c>
      <c r="H80" s="220"/>
      <c r="I80" s="6" t="str">
        <f t="shared" si="2"/>
        <v>PE</v>
      </c>
      <c r="J80" t="s">
        <v>1235</v>
      </c>
      <c r="K80">
        <v>0</v>
      </c>
      <c r="L80" t="s">
        <v>10</v>
      </c>
      <c r="M80" t="s">
        <v>169</v>
      </c>
      <c r="N80" s="12"/>
    </row>
    <row r="81" spans="1:14" ht="16.5" customHeight="1" x14ac:dyDescent="0.2">
      <c r="A81" s="12"/>
      <c r="B81" s="220"/>
      <c r="C81" s="6" t="str">
        <f t="shared" si="3"/>
        <v>PP</v>
      </c>
      <c r="D81" t="s">
        <v>1236</v>
      </c>
      <c r="E81">
        <f t="shared" si="0"/>
        <v>0</v>
      </c>
      <c r="F81" t="s">
        <v>10</v>
      </c>
      <c r="G81" s="32" t="str">
        <f t="shared" si="1"/>
        <v>soft_PP  * Total_WG</v>
      </c>
      <c r="H81" s="220"/>
      <c r="I81" s="6" t="str">
        <f t="shared" si="2"/>
        <v>PP</v>
      </c>
      <c r="J81" t="s">
        <v>1237</v>
      </c>
      <c r="K81">
        <v>0</v>
      </c>
      <c r="L81" t="s">
        <v>10</v>
      </c>
      <c r="M81" t="s">
        <v>169</v>
      </c>
      <c r="N81" s="12"/>
    </row>
    <row r="82" spans="1:14" ht="16.5" customHeight="1" x14ac:dyDescent="0.2">
      <c r="A82" s="12"/>
      <c r="B82" s="220"/>
      <c r="C82" s="6" t="str">
        <f t="shared" si="3"/>
        <v>PS</v>
      </c>
      <c r="D82" t="s">
        <v>1238</v>
      </c>
      <c r="E82">
        <f t="shared" si="0"/>
        <v>0</v>
      </c>
      <c r="F82" t="s">
        <v>10</v>
      </c>
      <c r="G82" s="32" t="str">
        <f t="shared" si="1"/>
        <v>soft_PS  * Total_WG</v>
      </c>
      <c r="H82" s="220"/>
      <c r="I82" s="6" t="str">
        <f t="shared" si="2"/>
        <v>PS</v>
      </c>
      <c r="J82" t="s">
        <v>1239</v>
      </c>
      <c r="K82">
        <v>0</v>
      </c>
      <c r="L82" t="s">
        <v>10</v>
      </c>
      <c r="M82" t="s">
        <v>169</v>
      </c>
      <c r="N82" s="12"/>
    </row>
    <row r="83" spans="1:14" ht="16.5" customHeight="1" x14ac:dyDescent="0.2">
      <c r="A83" s="12"/>
      <c r="B83" s="220"/>
      <c r="C83" s="6" t="str">
        <f t="shared" si="3"/>
        <v>Other</v>
      </c>
      <c r="D83" t="s">
        <v>1240</v>
      </c>
      <c r="E83">
        <f t="shared" si="0"/>
        <v>100.00000000000003</v>
      </c>
      <c r="F83" t="s">
        <v>10</v>
      </c>
      <c r="G83" s="32" t="str">
        <f t="shared" si="1"/>
        <v>soft_Oth  * Total_WG</v>
      </c>
      <c r="H83" s="220"/>
      <c r="I83" s="6" t="str">
        <f t="shared" si="2"/>
        <v>Other</v>
      </c>
      <c r="J83" t="s">
        <v>1241</v>
      </c>
      <c r="K83">
        <v>0</v>
      </c>
      <c r="L83" t="s">
        <v>10</v>
      </c>
      <c r="M83" t="s">
        <v>169</v>
      </c>
      <c r="N83" s="12"/>
    </row>
    <row r="84" spans="1:14" ht="16.5" customHeight="1" x14ac:dyDescent="0.2">
      <c r="A84" s="12"/>
      <c r="B84" s="220" t="s">
        <v>19</v>
      </c>
      <c r="C84" s="6" t="str">
        <f t="shared" si="3"/>
        <v>PET</v>
      </c>
      <c r="D84" t="s">
        <v>1242</v>
      </c>
      <c r="E84">
        <f>C61*$C$40</f>
        <v>0</v>
      </c>
      <c r="F84" t="s">
        <v>10</v>
      </c>
      <c r="G84" s="32" t="s">
        <v>2793</v>
      </c>
      <c r="H84" s="220" t="s">
        <v>19</v>
      </c>
      <c r="I84" s="6" t="str">
        <f t="shared" si="2"/>
        <v>PET</v>
      </c>
      <c r="J84" t="s">
        <v>1243</v>
      </c>
      <c r="K84">
        <v>0</v>
      </c>
      <c r="L84" t="s">
        <v>10</v>
      </c>
      <c r="M84" t="s">
        <v>169</v>
      </c>
      <c r="N84" s="12"/>
    </row>
    <row r="85" spans="1:14" ht="16.5" customHeight="1" x14ac:dyDescent="0.2">
      <c r="A85" s="12"/>
      <c r="B85" s="220"/>
      <c r="C85" s="6" t="str">
        <f t="shared" si="3"/>
        <v>PE</v>
      </c>
      <c r="D85" t="s">
        <v>1244</v>
      </c>
      <c r="E85">
        <f t="shared" ref="E85:E88" si="4">C62*$C$40</f>
        <v>0</v>
      </c>
      <c r="F85" t="s">
        <v>10</v>
      </c>
      <c r="G85" s="32" t="s">
        <v>2794</v>
      </c>
      <c r="H85" s="220"/>
      <c r="I85" s="6" t="str">
        <f t="shared" si="2"/>
        <v>PE</v>
      </c>
      <c r="J85" t="s">
        <v>1245</v>
      </c>
      <c r="K85">
        <v>0</v>
      </c>
      <c r="L85" t="s">
        <v>10</v>
      </c>
      <c r="M85" t="s">
        <v>169</v>
      </c>
      <c r="N85" s="12"/>
    </row>
    <row r="86" spans="1:14" ht="16.5" customHeight="1" x14ac:dyDescent="0.2">
      <c r="A86" s="12"/>
      <c r="B86" s="220"/>
      <c r="C86" s="6" t="str">
        <f t="shared" si="3"/>
        <v>PP</v>
      </c>
      <c r="D86" t="s">
        <v>1246</v>
      </c>
      <c r="E86">
        <f t="shared" si="4"/>
        <v>0</v>
      </c>
      <c r="F86" t="s">
        <v>10</v>
      </c>
      <c r="G86" s="32" t="s">
        <v>2795</v>
      </c>
      <c r="H86" s="220"/>
      <c r="I86" s="6" t="str">
        <f t="shared" si="2"/>
        <v>PP</v>
      </c>
      <c r="J86" t="s">
        <v>1247</v>
      </c>
      <c r="K86">
        <v>0</v>
      </c>
      <c r="L86" t="s">
        <v>10</v>
      </c>
      <c r="M86" t="s">
        <v>169</v>
      </c>
      <c r="N86" s="12"/>
    </row>
    <row r="87" spans="1:14" ht="16.5" customHeight="1" x14ac:dyDescent="0.2">
      <c r="A87" s="12"/>
      <c r="B87" s="220"/>
      <c r="C87" s="6" t="str">
        <f t="shared" si="3"/>
        <v>PS</v>
      </c>
      <c r="D87" t="s">
        <v>1248</v>
      </c>
      <c r="E87">
        <f t="shared" si="4"/>
        <v>0</v>
      </c>
      <c r="F87" t="s">
        <v>10</v>
      </c>
      <c r="G87" s="32" t="s">
        <v>2796</v>
      </c>
      <c r="H87" s="220"/>
      <c r="I87" s="6" t="str">
        <f t="shared" si="2"/>
        <v>PS</v>
      </c>
      <c r="J87" t="s">
        <v>1249</v>
      </c>
      <c r="K87">
        <v>0</v>
      </c>
      <c r="L87" t="s">
        <v>10</v>
      </c>
      <c r="M87" t="s">
        <v>169</v>
      </c>
      <c r="N87" s="12"/>
    </row>
    <row r="88" spans="1:14" ht="16.5" customHeight="1" x14ac:dyDescent="0.2">
      <c r="A88" s="12"/>
      <c r="B88" s="227"/>
      <c r="C88" s="60" t="str">
        <f t="shared" si="3"/>
        <v>Other</v>
      </c>
      <c r="D88" s="44" t="s">
        <v>1250</v>
      </c>
      <c r="E88">
        <f t="shared" si="4"/>
        <v>99.999999999999929</v>
      </c>
      <c r="F88" s="44" t="s">
        <v>10</v>
      </c>
      <c r="G88" s="61" t="s">
        <v>2797</v>
      </c>
      <c r="H88" s="220"/>
      <c r="I88" s="6" t="str">
        <f t="shared" si="2"/>
        <v>Other</v>
      </c>
      <c r="J88" t="s">
        <v>1251</v>
      </c>
      <c r="K88">
        <v>0</v>
      </c>
      <c r="L88" t="s">
        <v>10</v>
      </c>
      <c r="M88" t="s">
        <v>169</v>
      </c>
      <c r="N88" s="12"/>
    </row>
    <row r="89" spans="1:14" ht="25" customHeight="1" x14ac:dyDescent="0.2">
      <c r="A89" s="12"/>
      <c r="B89" s="214" t="s">
        <v>45</v>
      </c>
      <c r="C89" s="214"/>
      <c r="D89" s="214"/>
      <c r="E89" s="214"/>
      <c r="F89" s="214"/>
      <c r="G89" s="214"/>
      <c r="H89" s="214"/>
      <c r="I89" s="214"/>
      <c r="J89" s="214"/>
      <c r="K89" s="214"/>
      <c r="L89" s="214"/>
      <c r="M89" s="214"/>
      <c r="N89" s="12"/>
    </row>
    <row r="90" spans="1:14" ht="16.5" customHeight="1" x14ac:dyDescent="0.2">
      <c r="A90" s="12"/>
      <c r="B90" s="53" t="s">
        <v>46</v>
      </c>
      <c r="C90" s="10" t="s">
        <v>3</v>
      </c>
      <c r="D90" s="10" t="s">
        <v>4</v>
      </c>
      <c r="E90" s="53" t="s">
        <v>7</v>
      </c>
      <c r="F90" s="10"/>
      <c r="G90" s="40"/>
      <c r="H90" s="53" t="s">
        <v>49</v>
      </c>
      <c r="I90" s="53" t="s">
        <v>3</v>
      </c>
      <c r="J90" s="53" t="s">
        <v>4</v>
      </c>
      <c r="K90" s="53" t="s">
        <v>7</v>
      </c>
      <c r="L90" s="10"/>
      <c r="M90" s="10"/>
      <c r="N90" s="12"/>
    </row>
    <row r="91" spans="1:14" ht="16.5" customHeight="1" x14ac:dyDescent="0.2">
      <c r="A91" s="12"/>
      <c r="B91" t="s">
        <v>1849</v>
      </c>
      <c r="C91">
        <f>SUM(E69:E73)</f>
        <v>300</v>
      </c>
      <c r="D91" t="s">
        <v>10</v>
      </c>
      <c r="E91" t="s">
        <v>1156</v>
      </c>
      <c r="F91" s="2"/>
      <c r="G91" s="4"/>
      <c r="H91" t="s">
        <v>1853</v>
      </c>
      <c r="I91">
        <f>SUM(K72:K73)</f>
        <v>0</v>
      </c>
      <c r="J91" t="s">
        <v>10</v>
      </c>
      <c r="K91" t="s">
        <v>1160</v>
      </c>
      <c r="L91" s="2"/>
      <c r="M91" s="2"/>
      <c r="N91" s="12"/>
    </row>
    <row r="92" spans="1:14" ht="16.5" customHeight="1" x14ac:dyDescent="0.2">
      <c r="A92" s="12"/>
      <c r="B92" t="s">
        <v>1850</v>
      </c>
      <c r="C92">
        <f>SUM(E74:E77)</f>
        <v>150</v>
      </c>
      <c r="D92" t="s">
        <v>10</v>
      </c>
      <c r="E92" t="s">
        <v>1157</v>
      </c>
      <c r="F92" s="2"/>
      <c r="G92" s="4"/>
      <c r="H92" t="s">
        <v>1854</v>
      </c>
      <c r="I92">
        <f>SUM(K77:K77)</f>
        <v>0</v>
      </c>
      <c r="J92" t="s">
        <v>10</v>
      </c>
      <c r="K92" t="s">
        <v>1162</v>
      </c>
      <c r="L92" s="2"/>
      <c r="M92" s="2"/>
      <c r="N92" s="12"/>
    </row>
    <row r="93" spans="1:14" ht="16.5" customHeight="1" x14ac:dyDescent="0.2">
      <c r="A93" s="12"/>
      <c r="B93" t="s">
        <v>1851</v>
      </c>
      <c r="C93">
        <f>SUM(E79:E83)</f>
        <v>400</v>
      </c>
      <c r="D93" t="s">
        <v>10</v>
      </c>
      <c r="E93" t="s">
        <v>1158</v>
      </c>
      <c r="F93" s="2"/>
      <c r="G93" s="4"/>
      <c r="H93" t="s">
        <v>1855</v>
      </c>
      <c r="I93">
        <f>SUM(K82:K83)</f>
        <v>0</v>
      </c>
      <c r="J93" t="s">
        <v>10</v>
      </c>
      <c r="K93" t="s">
        <v>1164</v>
      </c>
      <c r="L93" s="2"/>
      <c r="M93" s="2"/>
      <c r="N93" s="12"/>
    </row>
    <row r="94" spans="1:14" ht="16.5" customHeight="1" thickBot="1" x14ac:dyDescent="0.25">
      <c r="A94" s="12"/>
      <c r="B94" s="8" t="s">
        <v>1852</v>
      </c>
      <c r="C94" s="8">
        <f>SUM(E84:E88)</f>
        <v>99.999999999999929</v>
      </c>
      <c r="D94" s="8" t="s">
        <v>10</v>
      </c>
      <c r="E94" s="8" t="s">
        <v>1370</v>
      </c>
      <c r="F94" s="8"/>
      <c r="G94" s="87"/>
      <c r="H94" s="8" t="s">
        <v>1856</v>
      </c>
      <c r="I94" s="88">
        <f>SUM(K84:K88)</f>
        <v>0</v>
      </c>
      <c r="J94" s="8" t="s">
        <v>10</v>
      </c>
      <c r="K94" s="8" t="s">
        <v>1945</v>
      </c>
      <c r="L94" s="8"/>
      <c r="M94" s="8"/>
      <c r="N94" s="12"/>
    </row>
    <row r="95" spans="1:14" ht="16.5" customHeight="1" thickTop="1" x14ac:dyDescent="0.2">
      <c r="A95" s="12"/>
      <c r="B95" s="44" t="s">
        <v>1252</v>
      </c>
      <c r="C95" s="44">
        <f>SUM(E69:E88)</f>
        <v>999.99999999999989</v>
      </c>
      <c r="D95" s="44" t="s">
        <v>10</v>
      </c>
      <c r="E95" s="44" t="s">
        <v>1368</v>
      </c>
      <c r="F95" s="56"/>
      <c r="G95" s="57"/>
      <c r="H95" s="44" t="s">
        <v>1253</v>
      </c>
      <c r="I95" s="44">
        <f>SUM(K69:K88)</f>
        <v>0</v>
      </c>
      <c r="J95" s="44" t="s">
        <v>10</v>
      </c>
      <c r="K95" s="44" t="s">
        <v>1369</v>
      </c>
      <c r="L95" s="56"/>
      <c r="M95" s="56"/>
      <c r="N95" s="12"/>
    </row>
    <row r="96" spans="1:14" ht="16.5" customHeight="1" x14ac:dyDescent="0.2">
      <c r="A96" s="12"/>
      <c r="B96" s="125" t="s">
        <v>2704</v>
      </c>
      <c r="C96" s="125" t="str">
        <f>IF(C95+I95=C40,"true")</f>
        <v>true</v>
      </c>
      <c r="D96" s="125"/>
      <c r="E96" s="125"/>
      <c r="F96" s="125"/>
      <c r="G96" s="125"/>
      <c r="H96" s="125"/>
      <c r="I96" s="125"/>
      <c r="J96" s="125"/>
      <c r="K96" s="125"/>
      <c r="L96" s="125"/>
      <c r="M96" s="125"/>
      <c r="N96" s="12"/>
    </row>
    <row r="97" spans="1:14" ht="16.5" customHeight="1" x14ac:dyDescent="0.2">
      <c r="A97" s="12"/>
      <c r="B97" s="12"/>
      <c r="C97" s="12"/>
      <c r="D97" s="12"/>
      <c r="E97" s="12"/>
      <c r="F97" s="12"/>
      <c r="G97" s="12"/>
      <c r="H97" s="12"/>
      <c r="I97" s="12"/>
      <c r="J97" s="12"/>
      <c r="K97" s="12"/>
      <c r="L97" s="12"/>
      <c r="M97" s="12"/>
      <c r="N97" s="12"/>
    </row>
    <row r="98" spans="1:14" ht="16.5" customHeight="1" x14ac:dyDescent="0.2">
      <c r="A98" s="12"/>
      <c r="B98" s="12"/>
      <c r="C98" s="12"/>
      <c r="D98" s="12"/>
      <c r="E98" s="12"/>
      <c r="F98" s="12"/>
      <c r="G98" s="12"/>
      <c r="H98" s="12"/>
      <c r="I98" s="12"/>
      <c r="J98" s="12"/>
      <c r="K98" s="12"/>
      <c r="L98" s="12"/>
      <c r="M98" s="12"/>
      <c r="N98" s="12"/>
    </row>
    <row r="99" spans="1:14" ht="16.5" customHeight="1" x14ac:dyDescent="0.2">
      <c r="A99" s="12"/>
      <c r="B99" s="12"/>
      <c r="C99" s="12"/>
      <c r="D99" s="12"/>
      <c r="E99" s="12"/>
      <c r="F99" s="12"/>
      <c r="G99" s="12"/>
      <c r="H99" s="12"/>
      <c r="I99" s="12"/>
      <c r="J99" s="12"/>
      <c r="K99" s="12"/>
      <c r="L99" s="12"/>
      <c r="M99" s="12"/>
      <c r="N99" s="12"/>
    </row>
    <row r="100" spans="1:14" ht="25" customHeight="1" x14ac:dyDescent="0.2">
      <c r="A100" s="12"/>
      <c r="B100" s="214" t="s">
        <v>51</v>
      </c>
      <c r="C100" s="214"/>
      <c r="D100" s="214"/>
      <c r="E100" s="214"/>
      <c r="F100" s="214"/>
      <c r="G100" s="214"/>
      <c r="H100" s="214"/>
      <c r="I100" s="214"/>
      <c r="J100" s="214"/>
      <c r="K100" s="214"/>
      <c r="L100" s="214"/>
      <c r="M100" s="214"/>
      <c r="N100" s="12"/>
    </row>
    <row r="101" spans="1:14" ht="16.5" customHeight="1" x14ac:dyDescent="0.2">
      <c r="A101" s="12"/>
      <c r="B101" s="114" t="s">
        <v>2</v>
      </c>
      <c r="C101" s="114" t="s">
        <v>3</v>
      </c>
      <c r="D101" s="114" t="s">
        <v>12</v>
      </c>
      <c r="E101" s="114" t="s">
        <v>5</v>
      </c>
      <c r="F101" s="114" t="s">
        <v>6</v>
      </c>
      <c r="G101" s="114" t="s">
        <v>7</v>
      </c>
      <c r="H101" s="114" t="s">
        <v>112</v>
      </c>
      <c r="I101" s="115"/>
      <c r="J101" s="106"/>
      <c r="K101" s="106"/>
      <c r="L101" s="106"/>
      <c r="M101" s="106"/>
      <c r="N101" s="12"/>
    </row>
    <row r="102" spans="1:14" ht="16.5" customHeight="1" x14ac:dyDescent="0.2">
      <c r="A102" s="12"/>
      <c r="B102" s="106" t="str">
        <f>'info, structure, parameters'!A127</f>
        <v>TC_bottle_PET_WG_SS</v>
      </c>
      <c r="C102" s="106">
        <f>'info, structure, parameters'!B127</f>
        <v>0.9</v>
      </c>
      <c r="D102" s="106" t="str">
        <f>'info, structure, parameters'!C127</f>
        <v>%ww</v>
      </c>
      <c r="E102" s="106">
        <f>'info, structure, parameters'!D127</f>
        <v>0.57999999999999996</v>
      </c>
      <c r="F102" s="106">
        <f>'info, structure, parameters'!E127</f>
        <v>0.9</v>
      </c>
      <c r="G102" s="106" t="str">
        <f>'info, structure, parameters'!F127</f>
        <v xml:space="preserve">Transfer coefficient of bottle PET from waste generation that is source-separated </v>
      </c>
      <c r="H102" s="106">
        <f>'info, structure, parameters'!G127</f>
        <v>2</v>
      </c>
      <c r="I102" s="115"/>
      <c r="J102" s="106"/>
      <c r="K102" s="106"/>
      <c r="L102" s="106"/>
      <c r="M102" s="106"/>
      <c r="N102" s="12"/>
    </row>
    <row r="103" spans="1:14" ht="16.5" customHeight="1" x14ac:dyDescent="0.2">
      <c r="A103" s="12"/>
      <c r="B103" s="106" t="str">
        <f>'info, structure, parameters'!A128</f>
        <v>TC_bottle_PE_WG_SS</v>
      </c>
      <c r="C103" s="106">
        <f>'info, structure, parameters'!B128</f>
        <v>0.9</v>
      </c>
      <c r="D103" s="106" t="str">
        <f>'info, structure, parameters'!C128</f>
        <v>%ww</v>
      </c>
      <c r="E103" s="106">
        <f>'info, structure, parameters'!D128</f>
        <v>0.45</v>
      </c>
      <c r="F103" s="106">
        <f>'info, structure, parameters'!E128</f>
        <v>0.9</v>
      </c>
      <c r="G103" s="106" t="str">
        <f>'info, structure, parameters'!F128</f>
        <v xml:space="preserve">Transfer coefficient of bottle PE from waste generation that is source-separated </v>
      </c>
      <c r="H103" s="106">
        <f>'info, structure, parameters'!G128</f>
        <v>2</v>
      </c>
      <c r="I103" s="106"/>
      <c r="J103" s="106"/>
      <c r="K103" s="106"/>
      <c r="L103" s="106"/>
      <c r="M103" s="106"/>
      <c r="N103" s="12"/>
    </row>
    <row r="104" spans="1:14" ht="16.5" customHeight="1" x14ac:dyDescent="0.2">
      <c r="A104" s="12"/>
      <c r="B104" s="106" t="str">
        <f>'info, structure, parameters'!A129</f>
        <v>TC_bottle_PP_WG_SS</v>
      </c>
      <c r="C104" s="106">
        <f>'info, structure, parameters'!B129</f>
        <v>0.9</v>
      </c>
      <c r="D104" s="106" t="str">
        <f>'info, structure, parameters'!C129</f>
        <v>%ww</v>
      </c>
      <c r="E104" s="106">
        <f>'info, structure, parameters'!D129</f>
        <v>0.45</v>
      </c>
      <c r="F104" s="106">
        <f>'info, structure, parameters'!E129</f>
        <v>0.9</v>
      </c>
      <c r="G104" s="106" t="str">
        <f>'info, structure, parameters'!F129</f>
        <v xml:space="preserve">Transfer coefficient of bottle PP from waste generation that is source-separated </v>
      </c>
      <c r="H104" s="106">
        <f>'info, structure, parameters'!G129</f>
        <v>2</v>
      </c>
      <c r="I104" s="106"/>
      <c r="J104" s="106"/>
      <c r="K104" s="106"/>
      <c r="L104" s="106"/>
      <c r="M104" s="106"/>
      <c r="N104" s="12"/>
    </row>
    <row r="105" spans="1:14" ht="16.5" customHeight="1" x14ac:dyDescent="0.2">
      <c r="A105" s="12"/>
      <c r="B105" s="106" t="str">
        <f>'info, structure, parameters'!A130</f>
        <v>TC_rigid_PET_WG_SS</v>
      </c>
      <c r="C105" s="106">
        <f>'info, structure, parameters'!B130</f>
        <v>0.9</v>
      </c>
      <c r="D105" s="106" t="str">
        <f>'info, structure, parameters'!C130</f>
        <v>%ww</v>
      </c>
      <c r="E105" s="106">
        <f>'info, structure, parameters'!D130</f>
        <v>0.55000000000000004</v>
      </c>
      <c r="F105" s="106">
        <f>'info, structure, parameters'!E130</f>
        <v>0.9</v>
      </c>
      <c r="G105" s="106" t="str">
        <f>'info, structure, parameters'!F130</f>
        <v xml:space="preserve">Transfer coefficient of rigid PET from waste generation that is source-separated </v>
      </c>
      <c r="H105" s="106">
        <f>'info, structure, parameters'!G130</f>
        <v>2</v>
      </c>
      <c r="I105" s="106"/>
      <c r="J105" s="106"/>
      <c r="K105" s="106"/>
      <c r="L105" s="106"/>
      <c r="M105" s="106"/>
      <c r="N105" s="12"/>
    </row>
    <row r="106" spans="1:14" ht="16.5" customHeight="1" x14ac:dyDescent="0.2">
      <c r="A106" s="12"/>
      <c r="B106" s="106" t="str">
        <f>'info, structure, parameters'!A131</f>
        <v>TC_rigid_PE_WG_SS</v>
      </c>
      <c r="C106" s="106">
        <f>'info, structure, parameters'!B131</f>
        <v>0.9</v>
      </c>
      <c r="D106" s="106" t="str">
        <f>'info, structure, parameters'!C131</f>
        <v>%ww</v>
      </c>
      <c r="E106" s="106">
        <f>'info, structure, parameters'!D131</f>
        <v>0.21</v>
      </c>
      <c r="F106" s="106">
        <f>'info, structure, parameters'!E131</f>
        <v>0.9</v>
      </c>
      <c r="G106" s="106" t="str">
        <f>'info, structure, parameters'!F131</f>
        <v xml:space="preserve">Transfer coefficient of rigid PE from waste generation that is source-separated </v>
      </c>
      <c r="H106" s="106">
        <f>'info, structure, parameters'!G131</f>
        <v>2</v>
      </c>
      <c r="I106" s="106"/>
      <c r="J106" s="106"/>
      <c r="K106" s="106"/>
      <c r="L106" s="106"/>
      <c r="M106" s="106"/>
      <c r="N106" s="12"/>
    </row>
    <row r="107" spans="1:14" ht="16.5" customHeight="1" x14ac:dyDescent="0.2">
      <c r="A107" s="12"/>
      <c r="B107" s="106" t="str">
        <f>'info, structure, parameters'!A132</f>
        <v>TC_rigid_PP_WG_SS</v>
      </c>
      <c r="C107" s="106">
        <f>'info, structure, parameters'!B132</f>
        <v>0.9</v>
      </c>
      <c r="D107" s="106" t="str">
        <f>'info, structure, parameters'!C132</f>
        <v>%ww</v>
      </c>
      <c r="E107" s="106">
        <f>'info, structure, parameters'!D132</f>
        <v>0.3</v>
      </c>
      <c r="F107" s="106">
        <f>'info, structure, parameters'!E132</f>
        <v>0.9</v>
      </c>
      <c r="G107" s="106" t="str">
        <f>'info, structure, parameters'!F132</f>
        <v xml:space="preserve">Transfer coefficient of rigid PP from waste generation that is source-separated </v>
      </c>
      <c r="H107" s="106" t="str">
        <f>'info, structure, parameters'!G132</f>
        <v>1, 2</v>
      </c>
      <c r="I107" s="106"/>
      <c r="J107" s="106"/>
      <c r="K107" s="106"/>
      <c r="L107" s="106"/>
      <c r="M107" s="106"/>
      <c r="N107" s="12"/>
    </row>
    <row r="108" spans="1:14" ht="16.5" customHeight="1" x14ac:dyDescent="0.2">
      <c r="A108" s="12"/>
      <c r="B108" s="106" t="str">
        <f>'info, structure, parameters'!A133</f>
        <v>TC_soft_PET_WG_SS</v>
      </c>
      <c r="C108" s="106">
        <f>'info, structure, parameters'!B133</f>
        <v>0.9</v>
      </c>
      <c r="D108" s="106" t="str">
        <f>'info, structure, parameters'!C133</f>
        <v>%ww</v>
      </c>
      <c r="E108" s="106">
        <f>'info, structure, parameters'!D133</f>
        <v>0.7</v>
      </c>
      <c r="F108" s="106">
        <f>'info, structure, parameters'!E133</f>
        <v>0.9</v>
      </c>
      <c r="G108" s="106" t="str">
        <f>'info, structure, parameters'!F133</f>
        <v xml:space="preserve">Transfer coefficient of soft PET from waste generation that is source-separated </v>
      </c>
      <c r="H108" s="106">
        <f>'info, structure, parameters'!G133</f>
        <v>2</v>
      </c>
      <c r="I108" s="106"/>
      <c r="J108" s="106"/>
      <c r="K108" s="106"/>
      <c r="L108" s="106"/>
      <c r="M108" s="106"/>
      <c r="N108" s="12"/>
    </row>
    <row r="109" spans="1:14" ht="16.5" customHeight="1" x14ac:dyDescent="0.2">
      <c r="A109" s="12"/>
      <c r="B109" s="106" t="str">
        <f>'info, structure, parameters'!A134</f>
        <v>TC_soft_PE_WG_SS</v>
      </c>
      <c r="C109" s="106">
        <f>'info, structure, parameters'!B134</f>
        <v>0.9</v>
      </c>
      <c r="D109" s="106" t="str">
        <f>'info, structure, parameters'!C134</f>
        <v>%ww</v>
      </c>
      <c r="E109" s="106">
        <f>'info, structure, parameters'!D134</f>
        <v>0.56000000000000005</v>
      </c>
      <c r="F109" s="106">
        <f>'info, structure, parameters'!E134</f>
        <v>0.9</v>
      </c>
      <c r="G109" s="106" t="str">
        <f>'info, structure, parameters'!F134</f>
        <v xml:space="preserve">Transfer coefficient of soft PE from waste generation that is source-separated </v>
      </c>
      <c r="H109" s="106">
        <f>'info, structure, parameters'!G134</f>
        <v>2</v>
      </c>
      <c r="I109" s="106"/>
      <c r="J109" s="106"/>
      <c r="K109" s="106"/>
      <c r="L109" s="106"/>
      <c r="M109" s="106"/>
      <c r="N109" s="12"/>
    </row>
    <row r="110" spans="1:14" ht="16.5" customHeight="1" x14ac:dyDescent="0.2">
      <c r="A110" s="12"/>
      <c r="B110" s="106" t="str">
        <f>'info, structure, parameters'!A135</f>
        <v>TC_soft_PP_WG_SS</v>
      </c>
      <c r="C110" s="106">
        <f>'info, structure, parameters'!B135</f>
        <v>0.9</v>
      </c>
      <c r="D110" s="106" t="str">
        <f>'info, structure, parameters'!C135</f>
        <v>%ww</v>
      </c>
      <c r="E110" s="106">
        <f>'info, structure, parameters'!D135</f>
        <v>0.7</v>
      </c>
      <c r="F110" s="106">
        <f>'info, structure, parameters'!E135</f>
        <v>0.9</v>
      </c>
      <c r="G110" s="106" t="str">
        <f>'info, structure, parameters'!F135</f>
        <v xml:space="preserve">Transfer coefficient of soft PP from waste generation that is source-separated </v>
      </c>
      <c r="H110" s="106">
        <f>'info, structure, parameters'!G135</f>
        <v>2</v>
      </c>
      <c r="I110" s="106"/>
      <c r="J110" s="106"/>
      <c r="K110" s="106"/>
      <c r="L110" s="106"/>
      <c r="M110" s="106"/>
      <c r="N110" s="12"/>
    </row>
    <row r="111" spans="1:14" ht="25" customHeight="1" x14ac:dyDescent="0.2">
      <c r="A111" s="12"/>
      <c r="B111" s="214" t="s">
        <v>53</v>
      </c>
      <c r="C111" s="214"/>
      <c r="D111" s="214"/>
      <c r="E111" s="214"/>
      <c r="F111" s="214"/>
      <c r="G111" s="214"/>
      <c r="H111" s="214"/>
      <c r="I111" s="214"/>
      <c r="J111" s="214"/>
      <c r="K111" s="214"/>
      <c r="L111" s="214"/>
      <c r="M111" s="214"/>
      <c r="N111" s="12"/>
    </row>
    <row r="112" spans="1:14" ht="25" customHeight="1" x14ac:dyDescent="0.2">
      <c r="A112" s="12"/>
      <c r="B112" s="214" t="s">
        <v>1395</v>
      </c>
      <c r="C112" s="214"/>
      <c r="D112" s="214"/>
      <c r="E112" s="214"/>
      <c r="F112" s="214"/>
      <c r="G112" s="223"/>
      <c r="H112" s="214" t="s">
        <v>48</v>
      </c>
      <c r="I112" s="214"/>
      <c r="J112" s="214"/>
      <c r="K112" s="214"/>
      <c r="L112" s="214"/>
      <c r="M112" s="214"/>
      <c r="N112" s="12"/>
    </row>
    <row r="113" spans="1:14" ht="16.5" customHeight="1" x14ac:dyDescent="0.2">
      <c r="A113" s="12"/>
      <c r="B113" s="2" t="s">
        <v>21</v>
      </c>
      <c r="C113" s="3" t="s">
        <v>20</v>
      </c>
      <c r="D113" s="2" t="s">
        <v>99</v>
      </c>
      <c r="E113" s="2" t="s">
        <v>3</v>
      </c>
      <c r="F113" s="2" t="s">
        <v>4</v>
      </c>
      <c r="G113" s="4" t="s">
        <v>43</v>
      </c>
      <c r="H113" s="2" t="s">
        <v>21</v>
      </c>
      <c r="I113" s="3" t="s">
        <v>20</v>
      </c>
      <c r="J113" s="2" t="str">
        <f>D113</f>
        <v>Name</v>
      </c>
      <c r="K113" s="2" t="s">
        <v>3</v>
      </c>
      <c r="L113" s="2" t="s">
        <v>4</v>
      </c>
      <c r="M113" s="2" t="s">
        <v>43</v>
      </c>
      <c r="N113" s="12" t="s">
        <v>1005</v>
      </c>
    </row>
    <row r="114" spans="1:14" x14ac:dyDescent="0.2">
      <c r="A114" s="12"/>
      <c r="B114" s="220" t="s">
        <v>14</v>
      </c>
      <c r="C114" s="6" t="str">
        <f t="shared" ref="C114:C133" si="5">C69</f>
        <v>PET</v>
      </c>
      <c r="D114" t="s">
        <v>1376</v>
      </c>
      <c r="E114" s="33">
        <f>C102*E69</f>
        <v>207</v>
      </c>
      <c r="F114" t="s">
        <v>10</v>
      </c>
      <c r="G114" s="32" t="str">
        <f>D69&amp;" * "&amp;B102</f>
        <v>bottle_PET_WG_SS_mass_pyrolysis * TC_bottle_PET_WG_SS</v>
      </c>
      <c r="H114" s="220" t="s">
        <v>14</v>
      </c>
      <c r="I114" s="6" t="str">
        <f>C114</f>
        <v>PET</v>
      </c>
      <c r="J114" t="s">
        <v>1254</v>
      </c>
      <c r="K114" s="33">
        <f t="shared" ref="K114:K133" si="6">E69-E114</f>
        <v>23</v>
      </c>
      <c r="L114" t="s">
        <v>10</v>
      </c>
      <c r="M114" t="str">
        <f>D69&amp;" - "&amp;D114</f>
        <v>bottle_PET_WG_SS_mass_pyrolysis - bottle_PET_SS_PRE_mass_pyrolysis</v>
      </c>
      <c r="N114" s="12" t="s">
        <v>1005</v>
      </c>
    </row>
    <row r="115" spans="1:14" x14ac:dyDescent="0.2">
      <c r="A115" s="12"/>
      <c r="B115" s="220"/>
      <c r="C115" s="6" t="str">
        <f t="shared" si="5"/>
        <v>PE</v>
      </c>
      <c r="D115" t="s">
        <v>1377</v>
      </c>
      <c r="E115" s="33">
        <f>C103*E70</f>
        <v>63</v>
      </c>
      <c r="F115" t="s">
        <v>10</v>
      </c>
      <c r="G115" s="32" t="str">
        <f t="shared" ref="G115:G116" si="7">D70&amp;" * "&amp;B103</f>
        <v>bottle_PE_WG_SS_mass_pyrolysis * TC_bottle_PE_WG_SS</v>
      </c>
      <c r="H115" s="220"/>
      <c r="I115" s="6" t="str">
        <f t="shared" ref="I115:I133" si="8">C115</f>
        <v>PE</v>
      </c>
      <c r="J115" t="s">
        <v>1255</v>
      </c>
      <c r="K115" s="33">
        <f t="shared" si="6"/>
        <v>7</v>
      </c>
      <c r="L115" t="s">
        <v>10</v>
      </c>
      <c r="M115" t="str">
        <f t="shared" ref="M115:M133" si="9">D70&amp;" - "&amp;D115</f>
        <v>bottle_PE_WG_SS_mass_pyrolysis - bottle_PE_SS_PRE_mass_pyrolysis</v>
      </c>
      <c r="N115" s="12" t="s">
        <v>1005</v>
      </c>
    </row>
    <row r="116" spans="1:14" x14ac:dyDescent="0.2">
      <c r="A116" s="12"/>
      <c r="B116" s="220"/>
      <c r="C116" s="6" t="str">
        <f t="shared" si="5"/>
        <v>PP</v>
      </c>
      <c r="D116" t="s">
        <v>1378</v>
      </c>
      <c r="E116" s="33">
        <f>C104*E71</f>
        <v>0</v>
      </c>
      <c r="F116" t="s">
        <v>10</v>
      </c>
      <c r="G116" s="32" t="str">
        <f t="shared" si="7"/>
        <v>bottle_PP_WG_SS_mass_pyrolysis * TC_bottle_PP_WG_SS</v>
      </c>
      <c r="H116" s="220"/>
      <c r="I116" s="6" t="str">
        <f t="shared" si="8"/>
        <v>PP</v>
      </c>
      <c r="J116" t="s">
        <v>1256</v>
      </c>
      <c r="K116" s="33">
        <f t="shared" si="6"/>
        <v>0</v>
      </c>
      <c r="L116" t="s">
        <v>10</v>
      </c>
      <c r="M116" t="str">
        <f t="shared" si="9"/>
        <v>bottle_PP_WG_SS_mass_pyrolysis - bottle_PP_SS_PRE_mass_pyrolysis</v>
      </c>
      <c r="N116" s="12" t="s">
        <v>1005</v>
      </c>
    </row>
    <row r="117" spans="1:14" x14ac:dyDescent="0.2">
      <c r="A117" s="12"/>
      <c r="B117" s="220"/>
      <c r="C117" s="6" t="str">
        <f t="shared" si="5"/>
        <v>PS</v>
      </c>
      <c r="D117" t="s">
        <v>1379</v>
      </c>
      <c r="E117" s="33">
        <f>AVERAGE($C$102,$C$103,$C$104)*E72</f>
        <v>0</v>
      </c>
      <c r="F117" t="s">
        <v>10</v>
      </c>
      <c r="G117" s="32" t="str">
        <f>"AVERAGE("&amp;$B$102&amp;"; "&amp;$B$103&amp;"; "&amp;$B$104&amp;") * "&amp;D72</f>
        <v>AVERAGE(TC_bottle_PET_WG_SS; TC_bottle_PE_WG_SS; TC_bottle_PP_WG_SS) * bottle_PS_WG_SS_mass_pyrolysis</v>
      </c>
      <c r="H117" s="220"/>
      <c r="I117" s="6" t="str">
        <f t="shared" si="8"/>
        <v>PS</v>
      </c>
      <c r="J117" t="s">
        <v>1257</v>
      </c>
      <c r="K117" s="33">
        <f t="shared" si="6"/>
        <v>0</v>
      </c>
      <c r="L117" t="s">
        <v>10</v>
      </c>
      <c r="M117" t="str">
        <f t="shared" si="9"/>
        <v>bottle_PS_WG_SS_mass_pyrolysis - bottle_PS_SS_PRE_mass_pyrolysis</v>
      </c>
      <c r="N117" s="12" t="s">
        <v>1005</v>
      </c>
    </row>
    <row r="118" spans="1:14" x14ac:dyDescent="0.2">
      <c r="A118" s="12"/>
      <c r="B118" s="220"/>
      <c r="C118" s="6" t="str">
        <f t="shared" si="5"/>
        <v>Other</v>
      </c>
      <c r="D118" t="s">
        <v>1380</v>
      </c>
      <c r="E118" s="33">
        <f>AVERAGE($C$102,$C$103,$C$104)*E73</f>
        <v>0</v>
      </c>
      <c r="F118" t="s">
        <v>10</v>
      </c>
      <c r="G118" s="32" t="str">
        <f>"AVERAGE("&amp;$B$102&amp;"; "&amp;$B$103&amp;"; "&amp;$B$104&amp;") * "&amp;D73</f>
        <v>AVERAGE(TC_bottle_PET_WG_SS; TC_bottle_PE_WG_SS; TC_bottle_PP_WG_SS) * bottle_Oth_WG_SS_mass_pyrolysis</v>
      </c>
      <c r="H118" s="220"/>
      <c r="I118" s="6" t="str">
        <f t="shared" si="8"/>
        <v>Other</v>
      </c>
      <c r="J118" t="s">
        <v>1258</v>
      </c>
      <c r="K118" s="33">
        <f t="shared" si="6"/>
        <v>0</v>
      </c>
      <c r="L118" t="s">
        <v>10</v>
      </c>
      <c r="M118" t="str">
        <f t="shared" si="9"/>
        <v>bottle_Oth_WG_SS_mass_pyrolysis - bottle_Oth_SS_PRE_mass_pyrolysis</v>
      </c>
      <c r="N118" s="12" t="s">
        <v>1005</v>
      </c>
    </row>
    <row r="119" spans="1:14" x14ac:dyDescent="0.2">
      <c r="A119" s="12"/>
      <c r="B119" s="220" t="s">
        <v>15</v>
      </c>
      <c r="C119" s="6" t="str">
        <f t="shared" si="5"/>
        <v>PET</v>
      </c>
      <c r="D119" t="s">
        <v>1381</v>
      </c>
      <c r="E119" s="33">
        <f>C105*E74</f>
        <v>36</v>
      </c>
      <c r="F119" t="s">
        <v>10</v>
      </c>
      <c r="G119" s="32" t="str">
        <f>D74&amp;" * "&amp;B105</f>
        <v>rigid_PET_WG_SS_mass_pyrolysis * TC_rigid_PET_WG_SS</v>
      </c>
      <c r="H119" s="220" t="s">
        <v>15</v>
      </c>
      <c r="I119" s="6" t="str">
        <f t="shared" si="8"/>
        <v>PET</v>
      </c>
      <c r="J119" t="s">
        <v>1259</v>
      </c>
      <c r="K119" s="33">
        <f t="shared" si="6"/>
        <v>4</v>
      </c>
      <c r="L119" t="s">
        <v>10</v>
      </c>
      <c r="M119" t="str">
        <f t="shared" si="9"/>
        <v>rigid_PET_WG_SS_mass_pyrolysis - rigid_PET_SS_PRE_mass_pyrolysis</v>
      </c>
      <c r="N119" s="12" t="s">
        <v>1005</v>
      </c>
    </row>
    <row r="120" spans="1:14" x14ac:dyDescent="0.2">
      <c r="A120" s="12"/>
      <c r="B120" s="220"/>
      <c r="C120" s="6" t="str">
        <f t="shared" si="5"/>
        <v>PE</v>
      </c>
      <c r="D120" t="s">
        <v>1382</v>
      </c>
      <c r="E120" s="33">
        <f>C106*E75</f>
        <v>27</v>
      </c>
      <c r="F120" t="s">
        <v>10</v>
      </c>
      <c r="G120" s="32" t="str">
        <f t="shared" ref="G120:G121" si="10">D75&amp;" * "&amp;B106</f>
        <v>rigid_PE_WG_SS_mass_pyrolysis * TC_rigid_PE_WG_SS</v>
      </c>
      <c r="H120" s="220"/>
      <c r="I120" s="6" t="str">
        <f t="shared" si="8"/>
        <v>PE</v>
      </c>
      <c r="J120" t="s">
        <v>1260</v>
      </c>
      <c r="K120" s="33">
        <f t="shared" si="6"/>
        <v>3</v>
      </c>
      <c r="L120" t="s">
        <v>10</v>
      </c>
      <c r="M120" t="str">
        <f t="shared" si="9"/>
        <v>rigid_PE_WG_SS_mass_pyrolysis - rigid_PE_SS_PRE_mass_pyrolysis</v>
      </c>
      <c r="N120" s="12" t="s">
        <v>1005</v>
      </c>
    </row>
    <row r="121" spans="1:14" x14ac:dyDescent="0.2">
      <c r="A121" s="12"/>
      <c r="B121" s="220"/>
      <c r="C121" s="6" t="str">
        <f t="shared" si="5"/>
        <v>PP</v>
      </c>
      <c r="D121" t="s">
        <v>1383</v>
      </c>
      <c r="E121" s="33">
        <f>C107*E76</f>
        <v>63</v>
      </c>
      <c r="F121" t="s">
        <v>10</v>
      </c>
      <c r="G121" s="32" t="str">
        <f t="shared" si="10"/>
        <v>rigid_PP_WG_SS_mass_pyrolysis * TC_rigid_PP_WG_SS</v>
      </c>
      <c r="H121" s="220"/>
      <c r="I121" s="6" t="str">
        <f t="shared" si="8"/>
        <v>PP</v>
      </c>
      <c r="J121" t="s">
        <v>1261</v>
      </c>
      <c r="K121" s="33">
        <f t="shared" si="6"/>
        <v>7</v>
      </c>
      <c r="L121" t="s">
        <v>10</v>
      </c>
      <c r="M121" t="str">
        <f t="shared" si="9"/>
        <v>rigid_PP_WG_SS_mass_pyrolysis - rigid_PP_SS_PRE_mass_pyrolysis</v>
      </c>
      <c r="N121" s="12" t="s">
        <v>1005</v>
      </c>
    </row>
    <row r="122" spans="1:14" x14ac:dyDescent="0.2">
      <c r="A122" s="12"/>
      <c r="B122" s="220"/>
      <c r="C122" s="6" t="str">
        <f t="shared" si="5"/>
        <v>PS</v>
      </c>
      <c r="D122" t="s">
        <v>1384</v>
      </c>
      <c r="E122" s="33">
        <f>AVERAGE($C$105,$C$106,$C$107)*E77</f>
        <v>9</v>
      </c>
      <c r="F122" t="s">
        <v>10</v>
      </c>
      <c r="G122" s="32" t="str">
        <f>"AVERAGE("&amp;$B$105&amp;"; "&amp;$B$106&amp;"; "&amp;$B$107&amp;") * "&amp;D77</f>
        <v>AVERAGE(TC_rigid_PET_WG_SS; TC_rigid_PE_WG_SS; TC_rigid_PP_WG_SS) * rigid_PS_WG_SS_mass_pyrolysis</v>
      </c>
      <c r="H122" s="220"/>
      <c r="I122" s="6" t="str">
        <f t="shared" si="8"/>
        <v>PS</v>
      </c>
      <c r="J122" t="s">
        <v>1262</v>
      </c>
      <c r="K122" s="33">
        <f t="shared" si="6"/>
        <v>1</v>
      </c>
      <c r="L122" t="s">
        <v>10</v>
      </c>
      <c r="M122" t="str">
        <f t="shared" si="9"/>
        <v>rigid_PS_WG_SS_mass_pyrolysis - rigid_PS_SS_PRE_mass_pyrolysis</v>
      </c>
      <c r="N122" s="12" t="s">
        <v>1005</v>
      </c>
    </row>
    <row r="123" spans="1:14" x14ac:dyDescent="0.2">
      <c r="A123" s="12"/>
      <c r="B123" s="220"/>
      <c r="C123" s="6" t="str">
        <f t="shared" si="5"/>
        <v>Other</v>
      </c>
      <c r="D123" t="s">
        <v>1385</v>
      </c>
      <c r="E123" s="33">
        <f>AVERAGE($C$105,$C$106,$C$107)*E78</f>
        <v>44.999999999999986</v>
      </c>
      <c r="F123" t="s">
        <v>10</v>
      </c>
      <c r="G123" s="32" t="str">
        <f>"AVERAGE("&amp;$B$105&amp;"; "&amp;$B$106&amp;"; "&amp;$B$107&amp;") * "&amp;D78</f>
        <v>AVERAGE(TC_rigid_PET_WG_SS; TC_rigid_PE_WG_SS; TC_rigid_PP_WG_SS) * rigid_Oth_WG_SS_mass_pyrolysis</v>
      </c>
      <c r="H123" s="220"/>
      <c r="I123" s="6" t="str">
        <f t="shared" si="8"/>
        <v>Other</v>
      </c>
      <c r="J123" t="s">
        <v>1263</v>
      </c>
      <c r="K123" s="33">
        <f t="shared" si="6"/>
        <v>5</v>
      </c>
      <c r="L123" t="s">
        <v>10</v>
      </c>
      <c r="M123" t="str">
        <f t="shared" si="9"/>
        <v>rigid_Oth_WG_SS_mass_pyrolysis - rigid_Oth_SS_PRE_mass_pyrolysis</v>
      </c>
      <c r="N123" s="12" t="s">
        <v>1005</v>
      </c>
    </row>
    <row r="124" spans="1:14" x14ac:dyDescent="0.2">
      <c r="A124" s="12"/>
      <c r="B124" s="220" t="s">
        <v>42</v>
      </c>
      <c r="C124" s="6" t="str">
        <f t="shared" si="5"/>
        <v>PET</v>
      </c>
      <c r="D124" t="s">
        <v>1386</v>
      </c>
      <c r="E124" s="33">
        <f>C108*E79</f>
        <v>0</v>
      </c>
      <c r="F124" t="s">
        <v>10</v>
      </c>
      <c r="G124" s="32" t="str">
        <f>D79&amp;" * "&amp;B108</f>
        <v>soft_PET_WG_SS_mass_pyrolysis * TC_soft_PET_WG_SS</v>
      </c>
      <c r="H124" s="220" t="s">
        <v>42</v>
      </c>
      <c r="I124" s="6" t="str">
        <f t="shared" si="8"/>
        <v>PET</v>
      </c>
      <c r="J124" t="s">
        <v>1264</v>
      </c>
      <c r="K124" s="33">
        <f t="shared" si="6"/>
        <v>0</v>
      </c>
      <c r="L124" t="s">
        <v>10</v>
      </c>
      <c r="M124" t="str">
        <f t="shared" si="9"/>
        <v>soft_PET_WG_SS_mass_pyrolysis - soft_PET_SS_PRE_mass_pyrolysis</v>
      </c>
      <c r="N124" s="12" t="s">
        <v>1005</v>
      </c>
    </row>
    <row r="125" spans="1:14" x14ac:dyDescent="0.2">
      <c r="A125" s="12"/>
      <c r="B125" s="220"/>
      <c r="C125" s="6" t="str">
        <f t="shared" si="5"/>
        <v>PE</v>
      </c>
      <c r="D125" t="s">
        <v>1387</v>
      </c>
      <c r="E125" s="33">
        <f>C109*E80</f>
        <v>270</v>
      </c>
      <c r="F125" t="s">
        <v>10</v>
      </c>
      <c r="G125" s="32" t="str">
        <f t="shared" ref="G125:G126" si="11">D80&amp;" * "&amp;B109</f>
        <v>soft_PE_WG_SS_mass_pyrolysis * TC_soft_PE_WG_SS</v>
      </c>
      <c r="H125" s="220"/>
      <c r="I125" s="6" t="str">
        <f t="shared" si="8"/>
        <v>PE</v>
      </c>
      <c r="J125" t="s">
        <v>1265</v>
      </c>
      <c r="K125" s="33">
        <f t="shared" si="6"/>
        <v>30</v>
      </c>
      <c r="L125" t="s">
        <v>10</v>
      </c>
      <c r="M125" t="str">
        <f t="shared" si="9"/>
        <v>soft_PE_WG_SS_mass_pyrolysis - soft_PE_SS_PRE_mass_pyrolysis</v>
      </c>
      <c r="N125" s="12" t="s">
        <v>1005</v>
      </c>
    </row>
    <row r="126" spans="1:14" x14ac:dyDescent="0.2">
      <c r="A126" s="12"/>
      <c r="B126" s="220"/>
      <c r="C126" s="6" t="str">
        <f t="shared" si="5"/>
        <v>PP</v>
      </c>
      <c r="D126" t="s">
        <v>1388</v>
      </c>
      <c r="E126" s="33">
        <f>C110*E81</f>
        <v>0</v>
      </c>
      <c r="F126" t="s">
        <v>10</v>
      </c>
      <c r="G126" s="32" t="str">
        <f t="shared" si="11"/>
        <v>soft_PP_WG_SS_mass_pyrolysis * TC_soft_PP_WG_SS</v>
      </c>
      <c r="H126" s="220"/>
      <c r="I126" s="6" t="str">
        <f t="shared" si="8"/>
        <v>PP</v>
      </c>
      <c r="J126" t="s">
        <v>1266</v>
      </c>
      <c r="K126" s="33">
        <f t="shared" si="6"/>
        <v>0</v>
      </c>
      <c r="L126" t="s">
        <v>10</v>
      </c>
      <c r="M126" t="str">
        <f t="shared" si="9"/>
        <v>soft_PP_WG_SS_mass_pyrolysis - soft_PP_SS_PRE_mass_pyrolysis</v>
      </c>
      <c r="N126" s="12" t="s">
        <v>1005</v>
      </c>
    </row>
    <row r="127" spans="1:14" x14ac:dyDescent="0.2">
      <c r="A127" s="12"/>
      <c r="B127" s="220"/>
      <c r="C127" s="6" t="str">
        <f t="shared" si="5"/>
        <v>PS</v>
      </c>
      <c r="D127" t="s">
        <v>1389</v>
      </c>
      <c r="E127" s="33">
        <f>AVERAGE($C$108,$C$109,$C$110)*E82</f>
        <v>0</v>
      </c>
      <c r="F127" t="s">
        <v>10</v>
      </c>
      <c r="G127" s="32" t="str">
        <f>"AVERAGE("&amp;$B$108&amp;"; "&amp;$B$109&amp;"; "&amp;$B$110&amp;") * "&amp;D82</f>
        <v>AVERAGE(TC_soft_PET_WG_SS; TC_soft_PE_WG_SS; TC_soft_PP_WG_SS) * soft_PS_WG_SS_mass_pyrolysis</v>
      </c>
      <c r="H127" s="220"/>
      <c r="I127" s="6" t="str">
        <f t="shared" si="8"/>
        <v>PS</v>
      </c>
      <c r="J127" t="s">
        <v>1267</v>
      </c>
      <c r="K127" s="33">
        <f t="shared" si="6"/>
        <v>0</v>
      </c>
      <c r="L127" t="s">
        <v>10</v>
      </c>
      <c r="M127" t="str">
        <f t="shared" si="9"/>
        <v>soft_PS_WG_SS_mass_pyrolysis - soft_PS_SS_PRE_mass_pyrolysis</v>
      </c>
      <c r="N127" s="12" t="s">
        <v>1005</v>
      </c>
    </row>
    <row r="128" spans="1:14" x14ac:dyDescent="0.2">
      <c r="A128" s="12"/>
      <c r="B128" s="220"/>
      <c r="C128" s="6" t="str">
        <f t="shared" si="5"/>
        <v>Other</v>
      </c>
      <c r="D128" t="s">
        <v>1390</v>
      </c>
      <c r="E128" s="33">
        <f>AVERAGE($C$108,$C$109,$C$110)*E83</f>
        <v>90.000000000000028</v>
      </c>
      <c r="F128" t="s">
        <v>10</v>
      </c>
      <c r="G128" s="32" t="str">
        <f>"AVERAGE("&amp;$B$108&amp;"; "&amp;$B$109&amp;"; "&amp;$B$110&amp;") * "&amp;D83</f>
        <v>AVERAGE(TC_soft_PET_WG_SS; TC_soft_PE_WG_SS; TC_soft_PP_WG_SS) * soft_Oth_WG_SS_mass_pyrolysis</v>
      </c>
      <c r="H128" s="220"/>
      <c r="I128" s="6" t="str">
        <f t="shared" si="8"/>
        <v>Other</v>
      </c>
      <c r="J128" t="s">
        <v>1268</v>
      </c>
      <c r="K128" s="33">
        <f t="shared" si="6"/>
        <v>10</v>
      </c>
      <c r="L128" t="s">
        <v>10</v>
      </c>
      <c r="M128" t="str">
        <f t="shared" si="9"/>
        <v>soft_Oth_WG_SS_mass_pyrolysis - soft_Oth_SS_PRE_mass_pyrolysis</v>
      </c>
      <c r="N128" s="12" t="s">
        <v>1005</v>
      </c>
    </row>
    <row r="129" spans="1:14" x14ac:dyDescent="0.2">
      <c r="A129" s="12"/>
      <c r="B129" s="220" t="s">
        <v>19</v>
      </c>
      <c r="C129" s="6" t="str">
        <f t="shared" si="5"/>
        <v>PET</v>
      </c>
      <c r="D129" t="s">
        <v>2798</v>
      </c>
      <c r="E129" s="33">
        <f>0*E84</f>
        <v>0</v>
      </c>
      <c r="F129" t="s">
        <v>10</v>
      </c>
      <c r="G129" s="32" t="s">
        <v>168</v>
      </c>
      <c r="H129" s="235" t="s">
        <v>19</v>
      </c>
      <c r="I129" s="6" t="str">
        <f t="shared" si="8"/>
        <v>PET</v>
      </c>
      <c r="J129" t="s">
        <v>2803</v>
      </c>
      <c r="K129" s="33">
        <f t="shared" si="6"/>
        <v>0</v>
      </c>
      <c r="L129" t="s">
        <v>10</v>
      </c>
      <c r="M129" t="str">
        <f t="shared" si="9"/>
        <v>other_PET_WG_SS_mass_pyrolysis - other_PET_SS_PRE_mass_pyrolysis</v>
      </c>
      <c r="N129" s="12"/>
    </row>
    <row r="130" spans="1:14" x14ac:dyDescent="0.2">
      <c r="A130" s="12"/>
      <c r="B130" s="220"/>
      <c r="C130" s="6" t="str">
        <f t="shared" si="5"/>
        <v>PE</v>
      </c>
      <c r="D130" t="s">
        <v>2799</v>
      </c>
      <c r="E130" s="33">
        <f t="shared" ref="E130:E133" si="12">0*E85</f>
        <v>0</v>
      </c>
      <c r="F130" t="s">
        <v>10</v>
      </c>
      <c r="G130" s="32" t="s">
        <v>168</v>
      </c>
      <c r="H130" s="235"/>
      <c r="I130" s="6" t="str">
        <f t="shared" si="8"/>
        <v>PE</v>
      </c>
      <c r="J130" t="s">
        <v>2804</v>
      </c>
      <c r="K130" s="33">
        <f t="shared" si="6"/>
        <v>0</v>
      </c>
      <c r="L130" t="s">
        <v>10</v>
      </c>
      <c r="M130" t="str">
        <f t="shared" si="9"/>
        <v>other_PE_WG_SS_mass_pyrolysis - other_PE_SS_PRE_mass_pyrolysis</v>
      </c>
      <c r="N130" s="12"/>
    </row>
    <row r="131" spans="1:14" x14ac:dyDescent="0.2">
      <c r="A131" s="12"/>
      <c r="B131" s="220"/>
      <c r="C131" s="6" t="str">
        <f t="shared" si="5"/>
        <v>PP</v>
      </c>
      <c r="D131" t="s">
        <v>2800</v>
      </c>
      <c r="E131" s="33">
        <f t="shared" si="12"/>
        <v>0</v>
      </c>
      <c r="F131" t="s">
        <v>10</v>
      </c>
      <c r="G131" s="32" t="s">
        <v>168</v>
      </c>
      <c r="H131" s="235"/>
      <c r="I131" s="6" t="str">
        <f t="shared" si="8"/>
        <v>PP</v>
      </c>
      <c r="J131" t="s">
        <v>2805</v>
      </c>
      <c r="K131" s="33">
        <f t="shared" si="6"/>
        <v>0</v>
      </c>
      <c r="L131" t="s">
        <v>10</v>
      </c>
      <c r="M131" t="str">
        <f t="shared" si="9"/>
        <v>other_PP_WG_SS_mass_pyrolysis - other_PP_SS_PRE_mass_pyrolysis</v>
      </c>
      <c r="N131" s="12"/>
    </row>
    <row r="132" spans="1:14" x14ac:dyDescent="0.2">
      <c r="A132" s="12"/>
      <c r="B132" s="220"/>
      <c r="C132" s="6" t="str">
        <f t="shared" si="5"/>
        <v>PS</v>
      </c>
      <c r="D132" t="s">
        <v>2801</v>
      </c>
      <c r="E132" s="33">
        <f t="shared" si="12"/>
        <v>0</v>
      </c>
      <c r="F132" t="s">
        <v>10</v>
      </c>
      <c r="G132" s="32" t="s">
        <v>168</v>
      </c>
      <c r="H132" s="235"/>
      <c r="I132" s="6" t="str">
        <f t="shared" si="8"/>
        <v>PS</v>
      </c>
      <c r="J132" t="s">
        <v>2806</v>
      </c>
      <c r="K132" s="33">
        <f t="shared" si="6"/>
        <v>0</v>
      </c>
      <c r="L132" t="s">
        <v>10</v>
      </c>
      <c r="M132" t="str">
        <f t="shared" si="9"/>
        <v>other_PS_WG_SS_mass_pyrolysis - other_PS_SS_PRE_mass_pyrolysis</v>
      </c>
      <c r="N132" s="12"/>
    </row>
    <row r="133" spans="1:14" x14ac:dyDescent="0.2">
      <c r="A133" s="12"/>
      <c r="B133" s="227"/>
      <c r="C133" s="60" t="str">
        <f t="shared" si="5"/>
        <v>Other</v>
      </c>
      <c r="D133" s="44" t="s">
        <v>2802</v>
      </c>
      <c r="E133" s="62">
        <f t="shared" si="12"/>
        <v>0</v>
      </c>
      <c r="F133" s="44" t="s">
        <v>10</v>
      </c>
      <c r="G133" s="61" t="s">
        <v>168</v>
      </c>
      <c r="H133" s="236"/>
      <c r="I133" s="60" t="str">
        <f t="shared" si="8"/>
        <v>Other</v>
      </c>
      <c r="J133" t="s">
        <v>2807</v>
      </c>
      <c r="K133" s="33">
        <f t="shared" si="6"/>
        <v>99.999999999999929</v>
      </c>
      <c r="L133" s="44" t="s">
        <v>10</v>
      </c>
      <c r="M133" t="str">
        <f t="shared" si="9"/>
        <v>other_Oth_WG_SS_mass_pyrolysis - other_Oth_SS_PRE_mass_pyrolysis</v>
      </c>
      <c r="N133" s="12"/>
    </row>
    <row r="134" spans="1:14" ht="25" customHeight="1" x14ac:dyDescent="0.2">
      <c r="A134" s="12"/>
      <c r="B134" s="226" t="s">
        <v>55</v>
      </c>
      <c r="C134" s="226"/>
      <c r="D134" s="226"/>
      <c r="E134" s="226"/>
      <c r="F134" s="226"/>
      <c r="G134" s="214"/>
      <c r="H134" s="214"/>
      <c r="I134" s="214"/>
      <c r="J134" s="214"/>
      <c r="K134" s="214"/>
      <c r="L134" s="214"/>
      <c r="M134" s="214"/>
      <c r="N134" s="12" t="s">
        <v>1005</v>
      </c>
    </row>
    <row r="135" spans="1:14" x14ac:dyDescent="0.2">
      <c r="A135" s="12"/>
      <c r="B135" s="2" t="s">
        <v>49</v>
      </c>
      <c r="C135" s="2" t="s">
        <v>3</v>
      </c>
      <c r="D135" s="2" t="s">
        <v>4</v>
      </c>
      <c r="E135" s="2" t="s">
        <v>7</v>
      </c>
      <c r="F135" s="2"/>
      <c r="G135" s="4"/>
      <c r="H135" s="2" t="str">
        <f>B135</f>
        <v>Parameter</v>
      </c>
      <c r="I135" s="2" t="str">
        <f t="shared" ref="I135:K135" si="13">C135</f>
        <v>Value</v>
      </c>
      <c r="J135" s="2" t="str">
        <f t="shared" si="13"/>
        <v>Unit</v>
      </c>
      <c r="K135" s="54" t="str">
        <f t="shared" si="13"/>
        <v>Description</v>
      </c>
      <c r="L135" s="54"/>
      <c r="M135" s="54"/>
      <c r="N135" s="12"/>
    </row>
    <row r="136" spans="1:14" x14ac:dyDescent="0.2">
      <c r="A136" s="12"/>
      <c r="B136" t="s">
        <v>1391</v>
      </c>
      <c r="C136" s="33">
        <f>SUM(E114:E118)</f>
        <v>270</v>
      </c>
      <c r="D136" t="s">
        <v>10</v>
      </c>
      <c r="E136" t="s">
        <v>1371</v>
      </c>
      <c r="G136" s="32"/>
      <c r="H136" t="s">
        <v>1269</v>
      </c>
      <c r="I136" s="33">
        <f>SUM(K114:K118)</f>
        <v>30</v>
      </c>
      <c r="J136" t="s">
        <v>10</v>
      </c>
      <c r="K136" t="s">
        <v>1166</v>
      </c>
      <c r="N136" s="12"/>
    </row>
    <row r="137" spans="1:14" x14ac:dyDescent="0.2">
      <c r="A137" s="12"/>
      <c r="B137" t="s">
        <v>1392</v>
      </c>
      <c r="C137" s="33">
        <f>SUM(E119:E123)</f>
        <v>180</v>
      </c>
      <c r="D137" t="s">
        <v>10</v>
      </c>
      <c r="E137" t="s">
        <v>1373</v>
      </c>
      <c r="G137" s="32"/>
      <c r="H137" t="s">
        <v>1270</v>
      </c>
      <c r="I137" s="33">
        <f>SUM(K119:K123)</f>
        <v>20</v>
      </c>
      <c r="J137" t="s">
        <v>10</v>
      </c>
      <c r="K137" t="s">
        <v>1168</v>
      </c>
      <c r="N137" s="12"/>
    </row>
    <row r="138" spans="1:14" x14ac:dyDescent="0.2">
      <c r="A138" s="12"/>
      <c r="B138" t="s">
        <v>1393</v>
      </c>
      <c r="C138" s="33">
        <f>SUM(E124:E128)</f>
        <v>360</v>
      </c>
      <c r="D138" t="s">
        <v>10</v>
      </c>
      <c r="E138" t="s">
        <v>1374</v>
      </c>
      <c r="G138" s="32"/>
      <c r="H138" t="s">
        <v>1271</v>
      </c>
      <c r="I138" s="33">
        <f>SUM(K124:K128)</f>
        <v>40</v>
      </c>
      <c r="J138" t="s">
        <v>10</v>
      </c>
      <c r="K138" t="s">
        <v>1170</v>
      </c>
      <c r="N138" s="12"/>
    </row>
    <row r="139" spans="1:14" ht="16" thickBot="1" x14ac:dyDescent="0.25">
      <c r="A139" s="12"/>
      <c r="B139" s="8" t="s">
        <v>2808</v>
      </c>
      <c r="C139" s="34">
        <f>SUM(E129:E133)</f>
        <v>0</v>
      </c>
      <c r="D139" s="8" t="s">
        <v>10</v>
      </c>
      <c r="E139" s="8" t="s">
        <v>2810</v>
      </c>
      <c r="F139" s="8"/>
      <c r="G139" s="87"/>
      <c r="H139" s="8" t="s">
        <v>2809</v>
      </c>
      <c r="I139" s="34">
        <f>SUM(K129:K133)</f>
        <v>99.999999999999929</v>
      </c>
      <c r="J139" s="8" t="s">
        <v>10</v>
      </c>
      <c r="K139" s="8" t="s">
        <v>2708</v>
      </c>
      <c r="L139" s="8"/>
      <c r="M139" s="8"/>
      <c r="N139" s="12"/>
    </row>
    <row r="140" spans="1:14" ht="16" thickTop="1" x14ac:dyDescent="0.2">
      <c r="A140" s="12"/>
      <c r="B140" s="44" t="s">
        <v>1394</v>
      </c>
      <c r="C140" s="62">
        <f>SUM(C136:C139)</f>
        <v>810</v>
      </c>
      <c r="D140" s="44" t="s">
        <v>10</v>
      </c>
      <c r="E140" s="44" t="s">
        <v>1372</v>
      </c>
      <c r="F140" s="44"/>
      <c r="G140" s="61"/>
      <c r="H140" s="44" t="s">
        <v>1272</v>
      </c>
      <c r="I140" s="62">
        <f>SUM(I136:I139)</f>
        <v>189.99999999999994</v>
      </c>
      <c r="J140" s="44" t="s">
        <v>10</v>
      </c>
      <c r="K140" s="44" t="s">
        <v>1375</v>
      </c>
      <c r="L140" s="44"/>
      <c r="M140" s="44"/>
      <c r="N140" s="12"/>
    </row>
    <row r="141" spans="1:14" x14ac:dyDescent="0.2">
      <c r="A141" s="12"/>
      <c r="B141" s="125" t="s">
        <v>2704</v>
      </c>
      <c r="C141" s="125" t="str">
        <f>IF(C140+I140=C95,"true")</f>
        <v>true</v>
      </c>
      <c r="D141" s="125"/>
      <c r="E141" s="125"/>
      <c r="F141" s="125"/>
      <c r="G141" s="125"/>
      <c r="H141" s="125"/>
      <c r="I141" s="125"/>
      <c r="J141" s="125"/>
      <c r="K141" s="125"/>
      <c r="L141" s="125"/>
      <c r="M141" s="125"/>
      <c r="N141" s="12"/>
    </row>
    <row r="142" spans="1:14" x14ac:dyDescent="0.2">
      <c r="A142" s="12"/>
      <c r="B142" s="12"/>
      <c r="C142" s="12"/>
      <c r="D142" s="12"/>
      <c r="E142" s="12"/>
      <c r="F142" s="12"/>
      <c r="G142" s="12"/>
      <c r="H142" s="12"/>
      <c r="I142" s="12"/>
      <c r="J142" s="12"/>
      <c r="K142" s="12"/>
      <c r="L142" s="12"/>
      <c r="M142" s="12"/>
      <c r="N142" s="12"/>
    </row>
    <row r="143" spans="1:14" x14ac:dyDescent="0.2">
      <c r="A143" s="12"/>
      <c r="B143" s="12"/>
      <c r="C143" s="12"/>
      <c r="D143" s="12"/>
      <c r="E143" s="12"/>
      <c r="F143" s="12"/>
      <c r="G143" s="12"/>
      <c r="H143" s="12"/>
      <c r="I143" s="12"/>
      <c r="J143" s="12"/>
      <c r="K143" s="12"/>
      <c r="L143" s="12"/>
      <c r="M143" s="12"/>
      <c r="N143" s="12"/>
    </row>
    <row r="144" spans="1:14" x14ac:dyDescent="0.2">
      <c r="A144" s="12"/>
      <c r="B144" s="12"/>
      <c r="C144" s="12"/>
      <c r="D144" s="12"/>
      <c r="E144" s="12"/>
      <c r="F144" s="12"/>
      <c r="G144" s="12"/>
      <c r="H144" s="12"/>
      <c r="I144" s="12"/>
      <c r="J144" s="12"/>
      <c r="K144" s="12"/>
      <c r="L144" s="12"/>
      <c r="M144" s="12"/>
      <c r="N144" s="12"/>
    </row>
    <row r="145" spans="1:14" ht="25" customHeight="1" x14ac:dyDescent="0.2">
      <c r="A145" s="12"/>
      <c r="B145" s="214" t="s">
        <v>1396</v>
      </c>
      <c r="C145" s="214"/>
      <c r="D145" s="214"/>
      <c r="E145" s="214"/>
      <c r="F145" s="214"/>
      <c r="G145" s="214"/>
      <c r="H145" s="214"/>
      <c r="I145" s="214"/>
      <c r="J145" s="214"/>
      <c r="K145" s="214"/>
      <c r="L145" s="214"/>
      <c r="M145" s="214"/>
      <c r="N145" s="12"/>
    </row>
    <row r="146" spans="1:14" x14ac:dyDescent="0.2">
      <c r="A146" s="12"/>
      <c r="B146" s="114" t="str">
        <f>B39</f>
        <v>Parameters</v>
      </c>
      <c r="C146" s="114" t="str">
        <f>C39</f>
        <v>Value (average)</v>
      </c>
      <c r="D146" s="114" t="s">
        <v>5</v>
      </c>
      <c r="E146" s="114" t="s">
        <v>6</v>
      </c>
      <c r="F146" s="114" t="str">
        <f>D39</f>
        <v>Unit</v>
      </c>
      <c r="G146" s="114" t="str">
        <f>E39</f>
        <v>Description</v>
      </c>
      <c r="H146" s="114" t="str">
        <f>F39</f>
        <v>Reference</v>
      </c>
      <c r="I146" s="114"/>
      <c r="J146" s="114"/>
      <c r="K146" s="114"/>
      <c r="L146" s="114"/>
      <c r="M146" s="114"/>
      <c r="N146" s="12"/>
    </row>
    <row r="147" spans="1:14" x14ac:dyDescent="0.2">
      <c r="A147" s="12"/>
      <c r="B147" s="106" t="str">
        <f>'info, structure, parameters'!A169</f>
        <v>TC_PE_PRE_PYRO</v>
      </c>
      <c r="C147" s="106">
        <f>'info, structure, parameters'!B169</f>
        <v>0.90100000000000002</v>
      </c>
      <c r="D147" s="106">
        <f>'info, structure, parameters'!C169</f>
        <v>0</v>
      </c>
      <c r="E147" s="106">
        <f>'info, structure, parameters'!D169</f>
        <v>0.58099999999999996</v>
      </c>
      <c r="F147" s="106">
        <f>'info, structure, parameters'!E169</f>
        <v>0.90100000000000002</v>
      </c>
      <c r="G147" s="106" t="str">
        <f>'info, structure, parameters'!F169</f>
        <v>Transfer coefficient of PE that is presorted for pyrolysis</v>
      </c>
      <c r="H147" s="106" t="str">
        <f>'info, structure, parameters'!G169</f>
        <v>5, 9</v>
      </c>
      <c r="I147" s="115"/>
      <c r="J147" s="106"/>
      <c r="K147" s="106"/>
      <c r="L147" s="106"/>
      <c r="M147" s="106"/>
      <c r="N147" s="12"/>
    </row>
    <row r="148" spans="1:14" x14ac:dyDescent="0.2">
      <c r="A148" s="12"/>
      <c r="B148" s="106" t="str">
        <f>'info, structure, parameters'!A170</f>
        <v>TC_PE_soft_PRE_PYRO</v>
      </c>
      <c r="C148" s="106">
        <f>'info, structure, parameters'!B170</f>
        <v>0.80800000000000005</v>
      </c>
      <c r="D148" s="106">
        <f>'info, structure, parameters'!C170</f>
        <v>0</v>
      </c>
      <c r="E148" s="106">
        <f>'info, structure, parameters'!D170</f>
        <v>0.80800000000000005</v>
      </c>
      <c r="F148" s="106">
        <f>'info, structure, parameters'!E170</f>
        <v>0.90100000000000002</v>
      </c>
      <c r="G148" s="106" t="str">
        <f>'info, structure, parameters'!F170</f>
        <v>Transfer coefficient of soft PE that is presorted for pyrolysis</v>
      </c>
      <c r="H148" s="106" t="str">
        <f>'info, structure, parameters'!G170</f>
        <v>5, 9</v>
      </c>
      <c r="I148" s="106"/>
      <c r="J148" s="106"/>
      <c r="K148" s="106"/>
      <c r="L148" s="106"/>
      <c r="M148" s="106"/>
      <c r="N148" s="12"/>
    </row>
    <row r="149" spans="1:14" x14ac:dyDescent="0.2">
      <c r="A149" s="12"/>
      <c r="B149" s="106" t="str">
        <f>'info, structure, parameters'!A171</f>
        <v>TC_PP_PRE_PYRO</v>
      </c>
      <c r="C149" s="106">
        <f>'info, structure, parameters'!B171</f>
        <v>0.90100000000000002</v>
      </c>
      <c r="D149" s="106">
        <f>'info, structure, parameters'!C171</f>
        <v>0</v>
      </c>
      <c r="E149" s="106">
        <f>'info, structure, parameters'!D171</f>
        <v>0.58099999999999996</v>
      </c>
      <c r="F149" s="106">
        <f>'info, structure, parameters'!E171</f>
        <v>0.90100000000000002</v>
      </c>
      <c r="G149" s="106" t="str">
        <f>'info, structure, parameters'!F171</f>
        <v>Transfer coefficient of PP that is presorted for pyrolysis</v>
      </c>
      <c r="H149" s="106" t="str">
        <f>'info, structure, parameters'!G171</f>
        <v>5, 9</v>
      </c>
      <c r="I149" s="106"/>
      <c r="J149" s="106"/>
      <c r="K149" s="106"/>
      <c r="L149" s="106"/>
      <c r="M149" s="106"/>
      <c r="N149" s="12"/>
    </row>
    <row r="150" spans="1:14" x14ac:dyDescent="0.2">
      <c r="A150" s="12"/>
      <c r="B150" s="106" t="str">
        <f>'info, structure, parameters'!A172</f>
        <v>TC_PP_rigid_PRE_PYRO</v>
      </c>
      <c r="C150" s="106">
        <f>'info, structure, parameters'!B172</f>
        <v>0.84799999999999998</v>
      </c>
      <c r="D150" s="106">
        <f>'info, structure, parameters'!C172</f>
        <v>0</v>
      </c>
      <c r="E150" s="106">
        <f>'info, structure, parameters'!D172</f>
        <v>0.84799999999999998</v>
      </c>
      <c r="F150" s="106">
        <f>'info, structure, parameters'!E172</f>
        <v>0.90100000000000002</v>
      </c>
      <c r="G150" s="106" t="str">
        <f>'info, structure, parameters'!F172</f>
        <v>Transfer coefficient of rigid PP that is presorted for pyrolysis</v>
      </c>
      <c r="H150" s="106" t="str">
        <f>'info, structure, parameters'!G172</f>
        <v>5, 9</v>
      </c>
      <c r="I150" s="106"/>
      <c r="J150" s="106"/>
      <c r="K150" s="106"/>
      <c r="L150" s="106"/>
      <c r="M150" s="106"/>
      <c r="N150" s="12"/>
    </row>
    <row r="151" spans="1:14" x14ac:dyDescent="0.2">
      <c r="A151" s="12"/>
      <c r="B151" s="106" t="str">
        <f>'info, structure, parameters'!A173</f>
        <v>TC_mixed_PRE_PYRO</v>
      </c>
      <c r="C151" s="106">
        <f>'info, structure, parameters'!B173</f>
        <v>0.90100000000000002</v>
      </c>
      <c r="D151" s="106">
        <f>'info, structure, parameters'!C173</f>
        <v>0</v>
      </c>
      <c r="E151" s="106">
        <f>'info, structure, parameters'!D173</f>
        <v>0.58099999999999996</v>
      </c>
      <c r="F151" s="106">
        <f>'info, structure, parameters'!E173</f>
        <v>0.90100000000000002</v>
      </c>
      <c r="G151" s="106" t="str">
        <f>'info, structure, parameters'!F173</f>
        <v>Transfer coefficient of mixed plastic that is presorted for pyrolysis</v>
      </c>
      <c r="H151" s="106" t="str">
        <f>'info, structure, parameters'!G173</f>
        <v>5, 9</v>
      </c>
      <c r="I151" s="106"/>
      <c r="J151" s="106"/>
      <c r="K151" s="106"/>
      <c r="L151" s="106"/>
      <c r="M151" s="106"/>
      <c r="N151" s="12"/>
    </row>
    <row r="152" spans="1:14" ht="25" customHeight="1" x14ac:dyDescent="0.2">
      <c r="A152" s="12"/>
      <c r="B152" s="214" t="s">
        <v>1397</v>
      </c>
      <c r="C152" s="214"/>
      <c r="D152" s="214"/>
      <c r="E152" s="214"/>
      <c r="F152" s="214"/>
      <c r="G152" s="214"/>
      <c r="H152" s="214"/>
      <c r="I152" s="214"/>
      <c r="J152" s="214"/>
      <c r="K152" s="214"/>
      <c r="L152" s="214"/>
      <c r="M152" s="214"/>
      <c r="N152" s="12"/>
    </row>
    <row r="153" spans="1:14" ht="25" customHeight="1" x14ac:dyDescent="0.2">
      <c r="A153" s="12"/>
      <c r="B153" s="214" t="s">
        <v>1398</v>
      </c>
      <c r="C153" s="214"/>
      <c r="D153" s="214"/>
      <c r="E153" s="214"/>
      <c r="F153" s="214"/>
      <c r="G153" s="223"/>
      <c r="H153" s="214" t="s">
        <v>48</v>
      </c>
      <c r="I153" s="214"/>
      <c r="J153" s="214"/>
      <c r="K153" s="214"/>
      <c r="L153" s="214"/>
      <c r="M153" s="214"/>
      <c r="N153" s="12"/>
    </row>
    <row r="154" spans="1:14" x14ac:dyDescent="0.2">
      <c r="A154" s="12"/>
      <c r="B154" s="2" t="s">
        <v>21</v>
      </c>
      <c r="C154" s="3" t="s">
        <v>20</v>
      </c>
      <c r="D154" s="2" t="s">
        <v>99</v>
      </c>
      <c r="E154" s="2" t="s">
        <v>3</v>
      </c>
      <c r="F154" s="2" t="s">
        <v>4</v>
      </c>
      <c r="G154" s="4" t="s">
        <v>43</v>
      </c>
      <c r="H154" s="2" t="s">
        <v>21</v>
      </c>
      <c r="I154" s="3" t="s">
        <v>20</v>
      </c>
      <c r="J154" s="2" t="str">
        <f>D154</f>
        <v>Name</v>
      </c>
      <c r="K154" s="2" t="s">
        <v>3</v>
      </c>
      <c r="L154" s="2" t="s">
        <v>4</v>
      </c>
      <c r="M154" s="2" t="s">
        <v>43</v>
      </c>
      <c r="N154" s="12" t="s">
        <v>1005</v>
      </c>
    </row>
    <row r="155" spans="1:14" x14ac:dyDescent="0.2">
      <c r="A155" s="12"/>
      <c r="B155" s="220" t="s">
        <v>14</v>
      </c>
      <c r="C155" s="6" t="str">
        <f t="shared" ref="C155:C169" si="14">C114</f>
        <v>PET</v>
      </c>
      <c r="D155" t="s">
        <v>1399</v>
      </c>
      <c r="E155">
        <f>C151*E114</f>
        <v>186.50700000000001</v>
      </c>
      <c r="F155" t="s">
        <v>10</v>
      </c>
      <c r="G155" s="32" t="str">
        <f>B151&amp;" * "&amp;D114</f>
        <v>TC_mixed_PRE_PYRO * bottle_PET_SS_PRE_mass_pyrolysis</v>
      </c>
      <c r="H155" s="220" t="s">
        <v>14</v>
      </c>
      <c r="I155" s="6" t="str">
        <f>C155</f>
        <v>PET</v>
      </c>
      <c r="J155" t="s">
        <v>1416</v>
      </c>
      <c r="K155" s="33">
        <f t="shared" ref="K155:K169" si="15">E114-E155</f>
        <v>20.492999999999995</v>
      </c>
      <c r="L155" t="s">
        <v>10</v>
      </c>
      <c r="M155" t="str">
        <f t="shared" ref="M155:M169" si="16">D114&amp;" - "&amp;D155</f>
        <v>bottle_PET_SS_PRE_mass_pyrolysis - bottle_PET_PRE_PYRO_mass_pyrolysis</v>
      </c>
      <c r="N155" s="12" t="s">
        <v>1005</v>
      </c>
    </row>
    <row r="156" spans="1:14" x14ac:dyDescent="0.2">
      <c r="A156" s="12"/>
      <c r="B156" s="220"/>
      <c r="C156" s="6" t="str">
        <f t="shared" si="14"/>
        <v>PE</v>
      </c>
      <c r="D156" t="s">
        <v>1400</v>
      </c>
      <c r="E156">
        <f>C147*E115</f>
        <v>56.762999999999998</v>
      </c>
      <c r="F156" t="s">
        <v>10</v>
      </c>
      <c r="G156" s="32" t="str">
        <f>B148&amp;" * "&amp;D115</f>
        <v>TC_PE_soft_PRE_PYRO * bottle_PE_SS_PRE_mass_pyrolysis</v>
      </c>
      <c r="H156" s="220"/>
      <c r="I156" s="6" t="str">
        <f t="shared" ref="I156:I169" si="17">C156</f>
        <v>PE</v>
      </c>
      <c r="J156" t="s">
        <v>1417</v>
      </c>
      <c r="K156" s="33">
        <f t="shared" si="15"/>
        <v>6.2370000000000019</v>
      </c>
      <c r="L156" t="s">
        <v>10</v>
      </c>
      <c r="M156" t="str">
        <f t="shared" si="16"/>
        <v>bottle_PE_SS_PRE_mass_pyrolysis - bottle_PE_PRE_PYRO_mass_pyrolysis</v>
      </c>
      <c r="N156" s="12" t="s">
        <v>1005</v>
      </c>
    </row>
    <row r="157" spans="1:14" x14ac:dyDescent="0.2">
      <c r="A157" s="12"/>
      <c r="B157" s="220"/>
      <c r="C157" s="6" t="str">
        <f t="shared" si="14"/>
        <v>PP</v>
      </c>
      <c r="D157" t="s">
        <v>1401</v>
      </c>
      <c r="E157">
        <f>C150*E116</f>
        <v>0</v>
      </c>
      <c r="F157" t="s">
        <v>10</v>
      </c>
      <c r="G157" s="32" t="str">
        <f>B150&amp;" * "&amp;D116</f>
        <v>TC_PP_rigid_PRE_PYRO * bottle_PP_SS_PRE_mass_pyrolysis</v>
      </c>
      <c r="H157" s="220"/>
      <c r="I157" s="6" t="str">
        <f t="shared" si="17"/>
        <v>PP</v>
      </c>
      <c r="J157" t="s">
        <v>1418</v>
      </c>
      <c r="K157" s="33">
        <f t="shared" si="15"/>
        <v>0</v>
      </c>
      <c r="L157" t="s">
        <v>10</v>
      </c>
      <c r="M157" t="str">
        <f t="shared" si="16"/>
        <v>bottle_PP_SS_PRE_mass_pyrolysis - bottle_PP_PRE_PYRO_mass_pyrolysis</v>
      </c>
      <c r="N157" s="12" t="s">
        <v>1005</v>
      </c>
    </row>
    <row r="158" spans="1:14" x14ac:dyDescent="0.2">
      <c r="A158" s="12"/>
      <c r="B158" s="220"/>
      <c r="C158" s="6" t="str">
        <f t="shared" si="14"/>
        <v>PS</v>
      </c>
      <c r="D158" t="s">
        <v>1402</v>
      </c>
      <c r="E158">
        <f>C151*E117</f>
        <v>0</v>
      </c>
      <c r="F158" t="s">
        <v>10</v>
      </c>
      <c r="G158" s="32" t="str">
        <f>B151&amp;" * "&amp;D117</f>
        <v>TC_mixed_PRE_PYRO * bottle_PS_SS_PRE_mass_pyrolysis</v>
      </c>
      <c r="H158" s="220"/>
      <c r="I158" s="6" t="str">
        <f t="shared" si="17"/>
        <v>PS</v>
      </c>
      <c r="J158" t="s">
        <v>1419</v>
      </c>
      <c r="K158" s="33">
        <f t="shared" si="15"/>
        <v>0</v>
      </c>
      <c r="L158" t="s">
        <v>10</v>
      </c>
      <c r="M158" t="str">
        <f t="shared" si="16"/>
        <v>bottle_PS_SS_PRE_mass_pyrolysis - bottle_PS_PRE_PYRO_mass_pyrolysis</v>
      </c>
      <c r="N158" s="12" t="s">
        <v>1005</v>
      </c>
    </row>
    <row r="159" spans="1:14" x14ac:dyDescent="0.2">
      <c r="A159" s="12"/>
      <c r="B159" s="220"/>
      <c r="C159" s="6" t="str">
        <f t="shared" si="14"/>
        <v>Other</v>
      </c>
      <c r="D159" t="s">
        <v>1403</v>
      </c>
      <c r="E159">
        <f>C151*E118</f>
        <v>0</v>
      </c>
      <c r="F159" t="s">
        <v>10</v>
      </c>
      <c r="G159" s="32" t="str">
        <f>B151&amp;" * "&amp;D118</f>
        <v>TC_mixed_PRE_PYRO * bottle_Oth_SS_PRE_mass_pyrolysis</v>
      </c>
      <c r="H159" s="220"/>
      <c r="I159" s="6" t="str">
        <f t="shared" si="17"/>
        <v>Other</v>
      </c>
      <c r="J159" t="s">
        <v>1420</v>
      </c>
      <c r="K159" s="33">
        <f t="shared" si="15"/>
        <v>0</v>
      </c>
      <c r="L159" t="s">
        <v>10</v>
      </c>
      <c r="M159" t="str">
        <f t="shared" si="16"/>
        <v>bottle_Oth_SS_PRE_mass_pyrolysis - bottle_Oth_PRE_PYRO_mass_pyrolysis</v>
      </c>
      <c r="N159" s="12" t="s">
        <v>1005</v>
      </c>
    </row>
    <row r="160" spans="1:14" x14ac:dyDescent="0.2">
      <c r="A160" s="12"/>
      <c r="B160" s="220" t="s">
        <v>15</v>
      </c>
      <c r="C160" s="6" t="str">
        <f t="shared" si="14"/>
        <v>PET</v>
      </c>
      <c r="D160" t="s">
        <v>1404</v>
      </c>
      <c r="E160">
        <f>C151*E119</f>
        <v>32.436</v>
      </c>
      <c r="F160" t="s">
        <v>10</v>
      </c>
      <c r="G160" s="32" t="str">
        <f>B151&amp;" * "&amp;D119</f>
        <v>TC_mixed_PRE_PYRO * rigid_PET_SS_PRE_mass_pyrolysis</v>
      </c>
      <c r="H160" s="220" t="s">
        <v>15</v>
      </c>
      <c r="I160" s="6" t="str">
        <f t="shared" si="17"/>
        <v>PET</v>
      </c>
      <c r="J160" t="s">
        <v>1421</v>
      </c>
      <c r="K160" s="33">
        <f t="shared" si="15"/>
        <v>3.5640000000000001</v>
      </c>
      <c r="L160" t="s">
        <v>10</v>
      </c>
      <c r="M160" t="str">
        <f t="shared" si="16"/>
        <v>rigid_PET_SS_PRE_mass_pyrolysis - rigid_PET_PRE_PYRO_mass_pyrolysis</v>
      </c>
      <c r="N160" s="12" t="s">
        <v>1005</v>
      </c>
    </row>
    <row r="161" spans="1:14" x14ac:dyDescent="0.2">
      <c r="A161" s="12"/>
      <c r="B161" s="220"/>
      <c r="C161" s="6" t="str">
        <f t="shared" si="14"/>
        <v>PE</v>
      </c>
      <c r="D161" t="s">
        <v>1405</v>
      </c>
      <c r="E161">
        <f>C147*E120</f>
        <v>24.327000000000002</v>
      </c>
      <c r="F161" t="s">
        <v>10</v>
      </c>
      <c r="G161" s="32" t="str">
        <f>B147&amp;" * "&amp;D120</f>
        <v>TC_PE_PRE_PYRO * rigid_PE_SS_PRE_mass_pyrolysis</v>
      </c>
      <c r="H161" s="220"/>
      <c r="I161" s="6" t="str">
        <f t="shared" si="17"/>
        <v>PE</v>
      </c>
      <c r="J161" t="s">
        <v>1422</v>
      </c>
      <c r="K161" s="33">
        <f t="shared" si="15"/>
        <v>2.6729999999999983</v>
      </c>
      <c r="L161" t="s">
        <v>10</v>
      </c>
      <c r="M161" t="str">
        <f t="shared" si="16"/>
        <v>rigid_PE_SS_PRE_mass_pyrolysis - rigid_PE_PRE_PYRO_mass_pyrolysis</v>
      </c>
      <c r="N161" s="12" t="s">
        <v>1005</v>
      </c>
    </row>
    <row r="162" spans="1:14" x14ac:dyDescent="0.2">
      <c r="A162" s="12"/>
      <c r="B162" s="220"/>
      <c r="C162" s="6" t="str">
        <f t="shared" si="14"/>
        <v>PP</v>
      </c>
      <c r="D162" t="s">
        <v>1406</v>
      </c>
      <c r="E162">
        <f>C150*E121</f>
        <v>53.423999999999999</v>
      </c>
      <c r="F162" t="s">
        <v>10</v>
      </c>
      <c r="G162" s="32" t="str">
        <f>B150&amp;" * "&amp;D121</f>
        <v>TC_PP_rigid_PRE_PYRO * rigid_PP_SS_PRE_mass_pyrolysis</v>
      </c>
      <c r="H162" s="220"/>
      <c r="I162" s="6" t="str">
        <f t="shared" si="17"/>
        <v>PP</v>
      </c>
      <c r="J162" t="s">
        <v>1423</v>
      </c>
      <c r="K162" s="33">
        <f t="shared" si="15"/>
        <v>9.5760000000000005</v>
      </c>
      <c r="L162" t="s">
        <v>10</v>
      </c>
      <c r="M162" t="str">
        <f t="shared" si="16"/>
        <v>rigid_PP_SS_PRE_mass_pyrolysis - rigid_PP_PRE_PYRO_mass_pyrolysis</v>
      </c>
      <c r="N162" s="12" t="s">
        <v>1005</v>
      </c>
    </row>
    <row r="163" spans="1:14" x14ac:dyDescent="0.2">
      <c r="A163" s="12"/>
      <c r="B163" s="220"/>
      <c r="C163" s="6" t="str">
        <f t="shared" si="14"/>
        <v>PS</v>
      </c>
      <c r="D163" t="s">
        <v>1407</v>
      </c>
      <c r="E163">
        <f>C151*E122</f>
        <v>8.109</v>
      </c>
      <c r="F163" t="s">
        <v>10</v>
      </c>
      <c r="G163" s="32" t="str">
        <f>B151&amp;" * "&amp;D122</f>
        <v>TC_mixed_PRE_PYRO * rigid_PS_SS_PRE_mass_pyrolysis</v>
      </c>
      <c r="H163" s="220"/>
      <c r="I163" s="6" t="str">
        <f t="shared" si="17"/>
        <v>PS</v>
      </c>
      <c r="J163" t="s">
        <v>1424</v>
      </c>
      <c r="K163" s="33">
        <f t="shared" si="15"/>
        <v>0.89100000000000001</v>
      </c>
      <c r="L163" t="s">
        <v>10</v>
      </c>
      <c r="M163" t="str">
        <f t="shared" si="16"/>
        <v>rigid_PS_SS_PRE_mass_pyrolysis - rigid_PS_PRE_PYRO_mass_pyrolysis</v>
      </c>
      <c r="N163" s="12" t="s">
        <v>1005</v>
      </c>
    </row>
    <row r="164" spans="1:14" x14ac:dyDescent="0.2">
      <c r="A164" s="12"/>
      <c r="B164" s="220"/>
      <c r="C164" s="6" t="str">
        <f t="shared" si="14"/>
        <v>Other</v>
      </c>
      <c r="D164" t="s">
        <v>1408</v>
      </c>
      <c r="E164">
        <f>C151*E123</f>
        <v>40.544999999999987</v>
      </c>
      <c r="F164" t="s">
        <v>10</v>
      </c>
      <c r="G164" s="32" t="str">
        <f>B151&amp;" * "&amp;D123</f>
        <v>TC_mixed_PRE_PYRO * rigid_Oth_SS_PRE_mass_pyrolysis</v>
      </c>
      <c r="H164" s="220"/>
      <c r="I164" s="6" t="str">
        <f t="shared" si="17"/>
        <v>Other</v>
      </c>
      <c r="J164" t="s">
        <v>1425</v>
      </c>
      <c r="K164" s="33">
        <f t="shared" si="15"/>
        <v>4.4549999999999983</v>
      </c>
      <c r="L164" t="s">
        <v>10</v>
      </c>
      <c r="M164" t="str">
        <f t="shared" si="16"/>
        <v>rigid_Oth_SS_PRE_mass_pyrolysis - rigid_Oth_PRE_PYRO_mass_pyrolysis</v>
      </c>
      <c r="N164" s="12" t="s">
        <v>1005</v>
      </c>
    </row>
    <row r="165" spans="1:14" x14ac:dyDescent="0.2">
      <c r="A165" s="12"/>
      <c r="B165" s="220" t="s">
        <v>42</v>
      </c>
      <c r="C165" s="6" t="str">
        <f t="shared" si="14"/>
        <v>PET</v>
      </c>
      <c r="D165" t="s">
        <v>1409</v>
      </c>
      <c r="E165">
        <f>C151*E124</f>
        <v>0</v>
      </c>
      <c r="F165" t="s">
        <v>10</v>
      </c>
      <c r="G165" s="32" t="str">
        <f>B151&amp;" * "&amp;D124</f>
        <v>TC_mixed_PRE_PYRO * soft_PET_SS_PRE_mass_pyrolysis</v>
      </c>
      <c r="H165" s="220" t="s">
        <v>42</v>
      </c>
      <c r="I165" s="6" t="str">
        <f t="shared" si="17"/>
        <v>PET</v>
      </c>
      <c r="J165" t="s">
        <v>1426</v>
      </c>
      <c r="K165" s="33">
        <f t="shared" si="15"/>
        <v>0</v>
      </c>
      <c r="L165" t="s">
        <v>10</v>
      </c>
      <c r="M165" t="str">
        <f t="shared" si="16"/>
        <v>soft_PET_SS_PRE_mass_pyrolysis - soft_PET_PRE_PYRO_mass_pyrolysis</v>
      </c>
      <c r="N165" s="12" t="s">
        <v>1005</v>
      </c>
    </row>
    <row r="166" spans="1:14" x14ac:dyDescent="0.2">
      <c r="A166" s="12"/>
      <c r="B166" s="220"/>
      <c r="C166" s="6" t="str">
        <f t="shared" si="14"/>
        <v>PE</v>
      </c>
      <c r="D166" t="s">
        <v>1410</v>
      </c>
      <c r="E166">
        <f>C148*E125</f>
        <v>218.16000000000003</v>
      </c>
      <c r="F166" t="s">
        <v>10</v>
      </c>
      <c r="G166" s="32" t="str">
        <f>B148&amp;" * "&amp;D125</f>
        <v>TC_PE_soft_PRE_PYRO * soft_PE_SS_PRE_mass_pyrolysis</v>
      </c>
      <c r="H166" s="220"/>
      <c r="I166" s="6" t="str">
        <f t="shared" si="17"/>
        <v>PE</v>
      </c>
      <c r="J166" t="s">
        <v>1427</v>
      </c>
      <c r="K166" s="33">
        <f t="shared" si="15"/>
        <v>51.839999999999975</v>
      </c>
      <c r="L166" t="s">
        <v>10</v>
      </c>
      <c r="M166" t="str">
        <f t="shared" si="16"/>
        <v>soft_PE_SS_PRE_mass_pyrolysis - soft_PE_PRE_PYRO_mass_pyrolysis</v>
      </c>
      <c r="N166" s="12" t="s">
        <v>1005</v>
      </c>
    </row>
    <row r="167" spans="1:14" x14ac:dyDescent="0.2">
      <c r="A167" s="12"/>
      <c r="B167" s="220"/>
      <c r="C167" s="6" t="str">
        <f t="shared" si="14"/>
        <v>PP</v>
      </c>
      <c r="D167" t="s">
        <v>1411</v>
      </c>
      <c r="E167">
        <f>C149*E126</f>
        <v>0</v>
      </c>
      <c r="F167" t="s">
        <v>10</v>
      </c>
      <c r="G167" s="32" t="str">
        <f>B149&amp;" * "&amp;D126</f>
        <v>TC_PP_PRE_PYRO * soft_PP_SS_PRE_mass_pyrolysis</v>
      </c>
      <c r="H167" s="220"/>
      <c r="I167" s="6" t="str">
        <f t="shared" si="17"/>
        <v>PP</v>
      </c>
      <c r="J167" t="s">
        <v>1428</v>
      </c>
      <c r="K167" s="33">
        <f t="shared" si="15"/>
        <v>0</v>
      </c>
      <c r="L167" t="s">
        <v>10</v>
      </c>
      <c r="M167" t="str">
        <f t="shared" si="16"/>
        <v>soft_PP_SS_PRE_mass_pyrolysis - soft_PP_PRE_PYRO_mass_pyrolysis</v>
      </c>
      <c r="N167" s="12" t="s">
        <v>1005</v>
      </c>
    </row>
    <row r="168" spans="1:14" x14ac:dyDescent="0.2">
      <c r="A168" s="12"/>
      <c r="B168" s="220"/>
      <c r="C168" s="6" t="str">
        <f t="shared" si="14"/>
        <v>PS</v>
      </c>
      <c r="D168" t="s">
        <v>1412</v>
      </c>
      <c r="E168">
        <f>C151*E127</f>
        <v>0</v>
      </c>
      <c r="F168" t="s">
        <v>10</v>
      </c>
      <c r="G168" s="32" t="str">
        <f>B151&amp;" * "&amp;D127</f>
        <v>TC_mixed_PRE_PYRO * soft_PS_SS_PRE_mass_pyrolysis</v>
      </c>
      <c r="H168" s="220"/>
      <c r="I168" s="6" t="str">
        <f t="shared" si="17"/>
        <v>PS</v>
      </c>
      <c r="J168" t="s">
        <v>1429</v>
      </c>
      <c r="K168" s="33">
        <f t="shared" si="15"/>
        <v>0</v>
      </c>
      <c r="L168" t="s">
        <v>10</v>
      </c>
      <c r="M168" t="str">
        <f t="shared" si="16"/>
        <v>soft_PS_SS_PRE_mass_pyrolysis - soft_PS_PRE_PYRO_mass_pyrolysis</v>
      </c>
      <c r="N168" s="12" t="s">
        <v>1005</v>
      </c>
    </row>
    <row r="169" spans="1:14" x14ac:dyDescent="0.2">
      <c r="A169" s="12"/>
      <c r="B169" s="227"/>
      <c r="C169" s="60" t="str">
        <f t="shared" si="14"/>
        <v>Other</v>
      </c>
      <c r="D169" s="44" t="s">
        <v>1413</v>
      </c>
      <c r="E169" s="44">
        <f>C151*E128</f>
        <v>81.090000000000032</v>
      </c>
      <c r="F169" s="44" t="s">
        <v>10</v>
      </c>
      <c r="G169" s="32" t="str">
        <f>B151&amp;" * "&amp;D128</f>
        <v>TC_mixed_PRE_PYRO * soft_Oth_SS_PRE_mass_pyrolysis</v>
      </c>
      <c r="H169" s="220"/>
      <c r="I169" s="6" t="str">
        <f t="shared" si="17"/>
        <v>Other</v>
      </c>
      <c r="J169" t="s">
        <v>1430</v>
      </c>
      <c r="K169" s="33">
        <f t="shared" si="15"/>
        <v>8.9099999999999966</v>
      </c>
      <c r="L169" t="s">
        <v>10</v>
      </c>
      <c r="M169" t="str">
        <f t="shared" si="16"/>
        <v>soft_Oth_SS_PRE_mass_pyrolysis - soft_Oth_PRE_PYRO_mass_pyrolysis</v>
      </c>
      <c r="N169" s="12" t="s">
        <v>1005</v>
      </c>
    </row>
    <row r="170" spans="1:14" ht="25" customHeight="1" x14ac:dyDescent="0.2">
      <c r="A170" s="12"/>
      <c r="B170" s="214" t="s">
        <v>45</v>
      </c>
      <c r="C170" s="214"/>
      <c r="D170" s="214"/>
      <c r="E170" s="214"/>
      <c r="F170" s="214"/>
      <c r="G170" s="214"/>
      <c r="H170" s="214"/>
      <c r="I170" s="214"/>
      <c r="J170" s="214"/>
      <c r="K170" s="214"/>
      <c r="L170" s="214"/>
      <c r="M170" s="214"/>
      <c r="N170" s="12" t="s">
        <v>1005</v>
      </c>
    </row>
    <row r="171" spans="1:14" x14ac:dyDescent="0.2">
      <c r="A171" s="12"/>
      <c r="B171" s="53" t="s">
        <v>46</v>
      </c>
      <c r="C171" s="10" t="s">
        <v>3</v>
      </c>
      <c r="D171" s="10" t="s">
        <v>4</v>
      </c>
      <c r="E171" s="53" t="s">
        <v>7</v>
      </c>
      <c r="F171" s="10"/>
      <c r="G171" s="40"/>
      <c r="H171" s="53" t="s">
        <v>49</v>
      </c>
      <c r="I171" s="53" t="s">
        <v>3</v>
      </c>
      <c r="J171" s="53" t="s">
        <v>4</v>
      </c>
      <c r="K171" s="53" t="s">
        <v>7</v>
      </c>
      <c r="L171" s="10"/>
      <c r="M171" s="10"/>
      <c r="N171" s="12"/>
    </row>
    <row r="172" spans="1:14" x14ac:dyDescent="0.2">
      <c r="A172" s="12"/>
      <c r="B172" t="s">
        <v>1837</v>
      </c>
      <c r="C172">
        <f>SUM(E155:E159)</f>
        <v>243.27</v>
      </c>
      <c r="D172" t="s">
        <v>10</v>
      </c>
      <c r="E172" t="s">
        <v>1431</v>
      </c>
      <c r="F172" s="2"/>
      <c r="G172" s="4"/>
      <c r="H172" t="s">
        <v>1840</v>
      </c>
      <c r="I172" s="33">
        <f>SUM(K155:K159)</f>
        <v>26.729999999999997</v>
      </c>
      <c r="J172" t="s">
        <v>10</v>
      </c>
      <c r="K172" t="s">
        <v>1435</v>
      </c>
      <c r="L172" s="2"/>
      <c r="M172" s="2"/>
      <c r="N172" s="12"/>
    </row>
    <row r="173" spans="1:14" x14ac:dyDescent="0.2">
      <c r="A173" s="12"/>
      <c r="B173" t="s">
        <v>1838</v>
      </c>
      <c r="C173">
        <f>SUM(E160:E164)</f>
        <v>158.84100000000001</v>
      </c>
      <c r="D173" t="s">
        <v>10</v>
      </c>
      <c r="E173" t="s">
        <v>1432</v>
      </c>
      <c r="F173" s="2"/>
      <c r="G173" s="4"/>
      <c r="H173" t="s">
        <v>1841</v>
      </c>
      <c r="I173" s="33">
        <f>SUM(K160:K164)</f>
        <v>21.158999999999999</v>
      </c>
      <c r="J173" t="s">
        <v>10</v>
      </c>
      <c r="K173" t="s">
        <v>1436</v>
      </c>
      <c r="L173" s="2"/>
      <c r="M173" s="2"/>
      <c r="N173" s="12"/>
    </row>
    <row r="174" spans="1:14" ht="16" thickBot="1" x14ac:dyDescent="0.25">
      <c r="A174" s="12"/>
      <c r="B174" s="8" t="s">
        <v>1839</v>
      </c>
      <c r="C174" s="8">
        <f>SUM(E165:E169)</f>
        <v>299.25000000000006</v>
      </c>
      <c r="D174" s="8" t="s">
        <v>10</v>
      </c>
      <c r="E174" s="8" t="s">
        <v>1433</v>
      </c>
      <c r="F174" s="37"/>
      <c r="G174" s="38"/>
      <c r="H174" s="8" t="s">
        <v>1842</v>
      </c>
      <c r="I174" s="34">
        <f>SUM(K165:K169)</f>
        <v>60.749999999999972</v>
      </c>
      <c r="J174" s="8" t="s">
        <v>10</v>
      </c>
      <c r="K174" s="8" t="s">
        <v>1437</v>
      </c>
      <c r="L174" s="37"/>
      <c r="M174" s="37"/>
      <c r="N174" s="12"/>
    </row>
    <row r="175" spans="1:14" ht="16" thickTop="1" x14ac:dyDescent="0.2">
      <c r="A175" s="12"/>
      <c r="B175" s="44" t="s">
        <v>1414</v>
      </c>
      <c r="C175" s="44">
        <f>SUM(C172:C174)</f>
        <v>701.3610000000001</v>
      </c>
      <c r="D175" s="44" t="s">
        <v>10</v>
      </c>
      <c r="E175" s="44" t="s">
        <v>1434</v>
      </c>
      <c r="F175" s="56"/>
      <c r="G175" s="57"/>
      <c r="H175" s="44" t="s">
        <v>1415</v>
      </c>
      <c r="I175" s="62">
        <f>SUM(I172:I174)</f>
        <v>108.63899999999997</v>
      </c>
      <c r="J175" s="44" t="s">
        <v>10</v>
      </c>
      <c r="K175" s="44" t="s">
        <v>1438</v>
      </c>
      <c r="L175" s="56"/>
      <c r="M175" s="56"/>
      <c r="N175" s="12"/>
    </row>
    <row r="176" spans="1:14" x14ac:dyDescent="0.2">
      <c r="A176" s="12"/>
      <c r="B176" s="125" t="s">
        <v>2704</v>
      </c>
      <c r="C176" s="138" t="str">
        <f>IF(C175+I175=C140,"true")</f>
        <v>true</v>
      </c>
      <c r="D176" s="125"/>
      <c r="E176" s="125"/>
      <c r="F176" s="125"/>
      <c r="G176" s="125"/>
      <c r="H176" s="125"/>
      <c r="I176" s="125"/>
      <c r="J176" s="125"/>
      <c r="K176" s="125"/>
      <c r="L176" s="125"/>
      <c r="M176" s="125"/>
      <c r="N176" s="12"/>
    </row>
    <row r="177" spans="1:14" x14ac:dyDescent="0.2">
      <c r="A177" s="12"/>
      <c r="B177" s="12"/>
      <c r="C177" s="89"/>
      <c r="D177" s="12"/>
      <c r="E177" s="12"/>
      <c r="F177" s="12"/>
      <c r="G177" s="12"/>
      <c r="H177" s="12"/>
      <c r="I177" s="12"/>
      <c r="J177" s="12"/>
      <c r="K177" s="12"/>
      <c r="L177" s="12"/>
      <c r="M177" s="12"/>
      <c r="N177" s="12"/>
    </row>
    <row r="178" spans="1:14" x14ac:dyDescent="0.2">
      <c r="A178" s="12"/>
      <c r="B178" s="12"/>
      <c r="C178" s="89"/>
      <c r="D178" s="12"/>
      <c r="E178" s="12"/>
      <c r="F178" s="12"/>
      <c r="G178" s="12"/>
      <c r="H178" s="12"/>
      <c r="I178" s="12"/>
      <c r="J178" s="12"/>
      <c r="K178" s="12"/>
      <c r="L178" s="12"/>
      <c r="M178" s="12"/>
      <c r="N178" s="12"/>
    </row>
    <row r="179" spans="1:14" x14ac:dyDescent="0.2">
      <c r="A179" s="12"/>
      <c r="B179" s="12"/>
      <c r="C179" s="89"/>
      <c r="D179" s="12"/>
      <c r="E179" s="12"/>
      <c r="F179" s="12"/>
      <c r="G179" s="12"/>
      <c r="H179" s="12"/>
      <c r="I179" s="12"/>
      <c r="J179" s="12"/>
      <c r="K179" s="12"/>
      <c r="L179" s="12"/>
      <c r="M179" s="12"/>
      <c r="N179" s="12"/>
    </row>
    <row r="180" spans="1:14" ht="25" customHeight="1" x14ac:dyDescent="0.2">
      <c r="A180" s="12"/>
      <c r="B180" s="214" t="s">
        <v>2838</v>
      </c>
      <c r="C180" s="214"/>
      <c r="D180" s="214"/>
      <c r="E180" s="214"/>
      <c r="F180" s="214"/>
      <c r="G180" s="214"/>
      <c r="H180" s="214"/>
      <c r="I180" s="214"/>
      <c r="J180" s="214"/>
      <c r="K180" s="214"/>
      <c r="L180" s="214"/>
      <c r="M180" s="214"/>
      <c r="N180" s="12"/>
    </row>
    <row r="181" spans="1:14" x14ac:dyDescent="0.2">
      <c r="A181" s="12"/>
      <c r="B181" s="114" t="str">
        <f t="shared" ref="B181:H181" si="18">B146</f>
        <v>Parameters</v>
      </c>
      <c r="C181" s="114" t="str">
        <f t="shared" si="18"/>
        <v>Value (average)</v>
      </c>
      <c r="D181" s="114" t="str">
        <f t="shared" si="18"/>
        <v>Min</v>
      </c>
      <c r="E181" s="114" t="str">
        <f t="shared" si="18"/>
        <v>Max</v>
      </c>
      <c r="F181" s="114" t="str">
        <f t="shared" si="18"/>
        <v>Unit</v>
      </c>
      <c r="G181" s="114" t="str">
        <f t="shared" si="18"/>
        <v>Description</v>
      </c>
      <c r="H181" s="114" t="str">
        <f t="shared" si="18"/>
        <v>Reference</v>
      </c>
      <c r="I181" s="115"/>
      <c r="J181" s="106"/>
      <c r="K181" s="106"/>
      <c r="L181" s="106"/>
      <c r="M181" s="106"/>
      <c r="N181" s="12"/>
    </row>
    <row r="182" spans="1:14" x14ac:dyDescent="0.2">
      <c r="A182" s="12"/>
      <c r="B182" s="106" t="str">
        <f>'info, structure, parameters'!A175</f>
        <v xml:space="preserve">TC_PE_PYRO_liquid </v>
      </c>
      <c r="C182" s="106">
        <f>'info, structure, parameters'!B175</f>
        <v>0.79800000000000004</v>
      </c>
      <c r="D182" s="106">
        <f>'info, structure, parameters'!C175</f>
        <v>0</v>
      </c>
      <c r="E182" s="106">
        <f>'info, structure, parameters'!D175</f>
        <v>0.63600000000000001</v>
      </c>
      <c r="F182" s="106">
        <f>'info, structure, parameters'!E175</f>
        <v>0.79800000000000004</v>
      </c>
      <c r="G182" s="106" t="str">
        <f>'info, structure, parameters'!F175</f>
        <v>Transfer coefficient of PE that is pyrolized to liquid</v>
      </c>
      <c r="H182" s="106">
        <f>'info, structure, parameters'!G175</f>
        <v>9</v>
      </c>
      <c r="I182" s="115"/>
      <c r="J182" s="106"/>
      <c r="K182" s="106"/>
      <c r="L182" s="106"/>
      <c r="M182" s="106"/>
      <c r="N182" s="12"/>
    </row>
    <row r="183" spans="1:14" x14ac:dyDescent="0.2">
      <c r="A183" s="12"/>
      <c r="B183" s="106" t="str">
        <f>'info, structure, parameters'!A176</f>
        <v xml:space="preserve">TC_PE_PYRO_solid </v>
      </c>
      <c r="C183" s="106">
        <f>'info, structure, parameters'!B176</f>
        <v>7.3999999999999996E-2</v>
      </c>
      <c r="D183" s="106">
        <f>'info, structure, parameters'!C176</f>
        <v>0</v>
      </c>
      <c r="E183" s="106">
        <f>'info, structure, parameters'!D176</f>
        <v>0.05</v>
      </c>
      <c r="F183" s="106">
        <f>'info, structure, parameters'!E176</f>
        <v>7.3999999999999996E-2</v>
      </c>
      <c r="G183" s="106" t="str">
        <f>'info, structure, parameters'!F176</f>
        <v>Transfer coefficient of PE that is pyrolized to solid</v>
      </c>
      <c r="H183" s="106">
        <f>'info, structure, parameters'!G176</f>
        <v>9</v>
      </c>
      <c r="I183" s="106"/>
      <c r="J183" s="106"/>
      <c r="K183" s="106"/>
      <c r="L183" s="106"/>
      <c r="M183" s="106"/>
      <c r="N183" s="12"/>
    </row>
    <row r="184" spans="1:14" x14ac:dyDescent="0.2">
      <c r="A184" s="12"/>
      <c r="B184" s="106" t="str">
        <f>'info, structure, parameters'!A177</f>
        <v xml:space="preserve">TC_PP_PYRO_liquid </v>
      </c>
      <c r="C184" s="106">
        <f>'info, structure, parameters'!B177</f>
        <v>0.81499999999999995</v>
      </c>
      <c r="D184" s="106">
        <f>'info, structure, parameters'!C177</f>
        <v>0</v>
      </c>
      <c r="E184" s="106">
        <f>'info, structure, parameters'!D177</f>
        <v>0.70299999999999996</v>
      </c>
      <c r="F184" s="106">
        <f>'info, structure, parameters'!E177</f>
        <v>0.81499999999999995</v>
      </c>
      <c r="G184" s="106" t="str">
        <f>'info, structure, parameters'!F177</f>
        <v>Transfer coefficient of PP that is pyrolized to liquid</v>
      </c>
      <c r="H184" s="121" t="str">
        <f>'info, structure, parameters'!G177</f>
        <v>5, 9</v>
      </c>
      <c r="I184" s="106"/>
      <c r="J184" s="106"/>
      <c r="K184" s="106"/>
      <c r="L184" s="106"/>
      <c r="M184" s="106"/>
      <c r="N184" s="12"/>
    </row>
    <row r="185" spans="1:14" x14ac:dyDescent="0.2">
      <c r="A185" s="12"/>
      <c r="B185" s="106" t="str">
        <f>'info, structure, parameters'!A178</f>
        <v xml:space="preserve">TC_PP_PYRO_solid </v>
      </c>
      <c r="C185" s="106">
        <f>'info, structure, parameters'!B178</f>
        <v>7.1999999999999995E-2</v>
      </c>
      <c r="D185" s="106">
        <f>'info, structure, parameters'!C178</f>
        <v>0</v>
      </c>
      <c r="E185" s="106">
        <f>'info, structure, parameters'!D178</f>
        <v>5.5E-2</v>
      </c>
      <c r="F185" s="106">
        <f>'info, structure, parameters'!E178</f>
        <v>7.1999999999999995E-2</v>
      </c>
      <c r="G185" s="106" t="str">
        <f>'info, structure, parameters'!F178</f>
        <v>Transfer coefficient of PP that is pyrolized to solid</v>
      </c>
      <c r="H185" s="121" t="str">
        <f>'info, structure, parameters'!G178</f>
        <v>5, 9</v>
      </c>
      <c r="I185" s="115"/>
      <c r="J185" s="106"/>
      <c r="K185" s="116"/>
      <c r="L185" s="106"/>
      <c r="M185" s="106"/>
      <c r="N185" s="12"/>
    </row>
    <row r="186" spans="1:14" x14ac:dyDescent="0.2">
      <c r="A186" s="12"/>
      <c r="B186" s="106" t="str">
        <f>'info, structure, parameters'!A179</f>
        <v xml:space="preserve">TC_mixed_PYRO_liquid </v>
      </c>
      <c r="C186" s="106">
        <f>'info, structure, parameters'!B179</f>
        <v>0.70299999999999996</v>
      </c>
      <c r="D186" s="106">
        <f>'info, structure, parameters'!C179</f>
        <v>0</v>
      </c>
      <c r="E186" s="106">
        <f>'info, structure, parameters'!D179</f>
        <v>0.63600000000000001</v>
      </c>
      <c r="F186" s="106">
        <f>'info, structure, parameters'!E179</f>
        <v>0.70299999999999996</v>
      </c>
      <c r="G186" s="106" t="str">
        <f>'info, structure, parameters'!F179</f>
        <v>Transfer coefficient of mixed plastic that is pyrolized to liquid</v>
      </c>
      <c r="H186" s="121" t="str">
        <f>'info, structure, parameters'!G179</f>
        <v>5, 9</v>
      </c>
      <c r="I186" s="115"/>
      <c r="J186" s="106"/>
      <c r="K186" s="116"/>
      <c r="L186" s="106"/>
      <c r="M186" s="106"/>
      <c r="N186" s="12"/>
    </row>
    <row r="187" spans="1:14" x14ac:dyDescent="0.2">
      <c r="A187" s="12"/>
      <c r="B187" s="106" t="str">
        <f>'info, structure, parameters'!A180</f>
        <v xml:space="preserve">TC_mixed_PYRO_solid </v>
      </c>
      <c r="C187" s="106">
        <f>'info, structure, parameters'!B180</f>
        <v>5.5E-2</v>
      </c>
      <c r="D187" s="106">
        <f>'info, structure, parameters'!C180</f>
        <v>0</v>
      </c>
      <c r="E187" s="106">
        <f>'info, structure, parameters'!D180</f>
        <v>0.05</v>
      </c>
      <c r="F187" s="106">
        <f>'info, structure, parameters'!E180</f>
        <v>5.5E-2</v>
      </c>
      <c r="G187" s="106" t="str">
        <f>'info, structure, parameters'!F180</f>
        <v>Transfer coefficient of mixed plastic that is pyrolized to solid</v>
      </c>
      <c r="H187" s="121" t="str">
        <f>'info, structure, parameters'!G180</f>
        <v>5, 9</v>
      </c>
      <c r="I187" s="115"/>
      <c r="J187" s="106"/>
      <c r="K187" s="116"/>
      <c r="L187" s="106"/>
      <c r="M187" s="106"/>
      <c r="N187" s="12"/>
    </row>
    <row r="188" spans="1:14" x14ac:dyDescent="0.2">
      <c r="A188" s="12"/>
      <c r="B188" s="106" t="str">
        <f>'info, structure, parameters'!A181</f>
        <v>TC_PET_GLYCO_NEW</v>
      </c>
      <c r="C188" s="106">
        <f>'info, structure, parameters'!B181</f>
        <v>0.98</v>
      </c>
      <c r="D188" s="106">
        <f>'info, structure, parameters'!C181</f>
        <v>0</v>
      </c>
      <c r="E188" s="106">
        <f>'info, structure, parameters'!D181</f>
        <v>0.76</v>
      </c>
      <c r="F188" s="106">
        <f>'info, structure, parameters'!E181</f>
        <v>0.98</v>
      </c>
      <c r="G188" s="106" t="str">
        <f>'info, structure, parameters'!F181</f>
        <v>Transfer coefficient of PET yield from glycolysis</v>
      </c>
      <c r="H188" s="106">
        <f>'info, structure, parameters'!G181</f>
        <v>11</v>
      </c>
      <c r="I188" s="115"/>
      <c r="J188" s="106"/>
      <c r="K188" s="116"/>
      <c r="L188" s="106"/>
      <c r="M188" s="106"/>
      <c r="N188" s="12"/>
    </row>
    <row r="189" spans="1:14" ht="25" customHeight="1" x14ac:dyDescent="0.2">
      <c r="A189" s="12"/>
      <c r="B189" s="214" t="s">
        <v>2839</v>
      </c>
      <c r="C189" s="214"/>
      <c r="D189" s="214"/>
      <c r="E189" s="214"/>
      <c r="F189" s="214"/>
      <c r="G189" s="214"/>
      <c r="H189" s="214"/>
      <c r="I189" s="214"/>
      <c r="J189" s="214"/>
      <c r="K189" s="214"/>
      <c r="L189" s="214"/>
      <c r="M189" s="214"/>
      <c r="N189" s="12"/>
    </row>
    <row r="190" spans="1:14" ht="25" customHeight="1" x14ac:dyDescent="0.2">
      <c r="A190" s="12"/>
      <c r="B190" s="214" t="s">
        <v>209</v>
      </c>
      <c r="C190" s="214"/>
      <c r="D190" s="214"/>
      <c r="E190" s="214"/>
      <c r="F190" s="214"/>
      <c r="G190" s="223"/>
      <c r="H190" s="214" t="s">
        <v>210</v>
      </c>
      <c r="I190" s="214"/>
      <c r="J190" s="214"/>
      <c r="K190" s="214"/>
      <c r="L190" s="214"/>
      <c r="M190" s="214"/>
      <c r="N190" s="12"/>
    </row>
    <row r="191" spans="1:14" x14ac:dyDescent="0.2">
      <c r="A191" s="12"/>
      <c r="B191" s="2" t="s">
        <v>21</v>
      </c>
      <c r="C191" s="3" t="s">
        <v>20</v>
      </c>
      <c r="D191" s="2" t="s">
        <v>99</v>
      </c>
      <c r="E191" s="2" t="s">
        <v>3</v>
      </c>
      <c r="F191" s="2" t="s">
        <v>4</v>
      </c>
      <c r="G191" s="4" t="s">
        <v>43</v>
      </c>
      <c r="H191" s="2" t="s">
        <v>21</v>
      </c>
      <c r="I191" s="3" t="s">
        <v>20</v>
      </c>
      <c r="J191" s="2" t="str">
        <f>D191</f>
        <v>Name</v>
      </c>
      <c r="K191" s="2" t="s">
        <v>3</v>
      </c>
      <c r="L191" s="2" t="s">
        <v>4</v>
      </c>
      <c r="M191" s="2" t="s">
        <v>43</v>
      </c>
      <c r="N191" s="12"/>
    </row>
    <row r="192" spans="1:14" x14ac:dyDescent="0.2">
      <c r="A192" s="12"/>
      <c r="B192" s="220" t="s">
        <v>14</v>
      </c>
      <c r="C192" s="6" t="str">
        <f t="shared" ref="C192:C206" si="19">C155</f>
        <v>PET</v>
      </c>
      <c r="D192" t="s">
        <v>1441</v>
      </c>
      <c r="E192">
        <f>C188*E155</f>
        <v>182.77686</v>
      </c>
      <c r="F192" t="s">
        <v>10</v>
      </c>
      <c r="G192" s="32" t="str">
        <f>B187&amp;" * "&amp;D155</f>
        <v>TC_mixed_PYRO_solid  * bottle_PET_PRE_PYRO_mass_pyrolysis</v>
      </c>
      <c r="H192" s="220" t="s">
        <v>14</v>
      </c>
      <c r="I192" s="6" t="str">
        <f>C192</f>
        <v>PET</v>
      </c>
      <c r="J192" t="s">
        <v>1457</v>
      </c>
      <c r="K192">
        <f>$C$187*E155</f>
        <v>10.257885</v>
      </c>
      <c r="L192" t="s">
        <v>10</v>
      </c>
      <c r="M192" t="str">
        <f t="shared" ref="M192:M206" si="20">D155&amp;" - "&amp;D192</f>
        <v>bottle_PET_PRE_PYRO_mass_pyrolysis - bottle_PET_PYRO_PUR_mass_pyrolysis</v>
      </c>
      <c r="N192" s="12"/>
    </row>
    <row r="193" spans="1:14" x14ac:dyDescent="0.2">
      <c r="A193" s="12"/>
      <c r="B193" s="220"/>
      <c r="C193" s="6" t="str">
        <f t="shared" si="19"/>
        <v>PE</v>
      </c>
      <c r="D193" t="s">
        <v>1442</v>
      </c>
      <c r="E193">
        <f>$C$182*E156</f>
        <v>45.296874000000003</v>
      </c>
      <c r="F193" t="s">
        <v>10</v>
      </c>
      <c r="G193" s="32" t="str">
        <f>B184&amp;" * "&amp;D156</f>
        <v>TC_PP_PYRO_liquid  * bottle_PE_PRE_PYRO_mass_pyrolysis</v>
      </c>
      <c r="H193" s="220"/>
      <c r="I193" s="6" t="str">
        <f t="shared" ref="I193:I206" si="21">C193</f>
        <v>PE</v>
      </c>
      <c r="J193" t="s">
        <v>1458</v>
      </c>
      <c r="K193">
        <f>$C$183*E156</f>
        <v>4.2004619999999999</v>
      </c>
      <c r="L193" t="s">
        <v>10</v>
      </c>
      <c r="M193" t="str">
        <f t="shared" si="20"/>
        <v>bottle_PE_PRE_PYRO_mass_pyrolysis - bottle_PE_PYRO_PUR_mass_pyrolysis</v>
      </c>
      <c r="N193" s="12"/>
    </row>
    <row r="194" spans="1:14" x14ac:dyDescent="0.2">
      <c r="A194" s="12"/>
      <c r="B194" s="220"/>
      <c r="C194" s="6" t="str">
        <f t="shared" si="19"/>
        <v>PP</v>
      </c>
      <c r="D194" t="s">
        <v>1443</v>
      </c>
      <c r="E194">
        <f>$C$184*E157</f>
        <v>0</v>
      </c>
      <c r="F194" t="s">
        <v>10</v>
      </c>
      <c r="G194" s="32" t="str">
        <f>B186&amp;" * "&amp;D157</f>
        <v>TC_mixed_PYRO_liquid  * bottle_PP_PRE_PYRO_mass_pyrolysis</v>
      </c>
      <c r="H194" s="220"/>
      <c r="I194" s="6" t="str">
        <f t="shared" si="21"/>
        <v>PP</v>
      </c>
      <c r="J194" t="s">
        <v>1459</v>
      </c>
      <c r="K194">
        <f>$C$185*E157</f>
        <v>0</v>
      </c>
      <c r="L194" t="s">
        <v>10</v>
      </c>
      <c r="M194" t="str">
        <f t="shared" si="20"/>
        <v>bottle_PP_PRE_PYRO_mass_pyrolysis - bottle_PP_PYRO_PUR_mass_pyrolysis</v>
      </c>
      <c r="N194" s="12"/>
    </row>
    <row r="195" spans="1:14" x14ac:dyDescent="0.2">
      <c r="A195" s="12"/>
      <c r="B195" s="220"/>
      <c r="C195" s="6" t="str">
        <f t="shared" si="19"/>
        <v>PS</v>
      </c>
      <c r="D195" t="s">
        <v>1444</v>
      </c>
      <c r="E195">
        <f>$C$186*E158</f>
        <v>0</v>
      </c>
      <c r="F195" t="s">
        <v>10</v>
      </c>
      <c r="G195" s="32" t="str">
        <f>B187&amp;" * "&amp;D158</f>
        <v>TC_mixed_PYRO_solid  * bottle_PS_PRE_PYRO_mass_pyrolysis</v>
      </c>
      <c r="H195" s="220"/>
      <c r="I195" s="6" t="str">
        <f t="shared" si="21"/>
        <v>PS</v>
      </c>
      <c r="J195" t="s">
        <v>1460</v>
      </c>
      <c r="K195">
        <f>$C$187*E158</f>
        <v>0</v>
      </c>
      <c r="L195" t="s">
        <v>10</v>
      </c>
      <c r="M195" t="str">
        <f t="shared" si="20"/>
        <v>bottle_PS_PRE_PYRO_mass_pyrolysis - bottle_PS_PYRO_PUR_mass_pyrolysis</v>
      </c>
      <c r="N195" s="12"/>
    </row>
    <row r="196" spans="1:14" x14ac:dyDescent="0.2">
      <c r="A196" s="12"/>
      <c r="B196" s="220"/>
      <c r="C196" s="6" t="str">
        <f t="shared" si="19"/>
        <v>Other</v>
      </c>
      <c r="D196" t="s">
        <v>1445</v>
      </c>
      <c r="E196">
        <f>$C$186*E159</f>
        <v>0</v>
      </c>
      <c r="F196" t="s">
        <v>10</v>
      </c>
      <c r="G196" s="32" t="str">
        <f>B187&amp;" * "&amp;D159</f>
        <v>TC_mixed_PYRO_solid  * bottle_Oth_PRE_PYRO_mass_pyrolysis</v>
      </c>
      <c r="H196" s="220"/>
      <c r="I196" s="6" t="str">
        <f t="shared" si="21"/>
        <v>Other</v>
      </c>
      <c r="J196" t="s">
        <v>1461</v>
      </c>
      <c r="K196">
        <f>$C$187*E159</f>
        <v>0</v>
      </c>
      <c r="L196" t="s">
        <v>10</v>
      </c>
      <c r="M196" t="str">
        <f t="shared" si="20"/>
        <v>bottle_Oth_PRE_PYRO_mass_pyrolysis - bottle_Oth_PYRO_PUR_mass_pyrolysis</v>
      </c>
      <c r="N196" s="12"/>
    </row>
    <row r="197" spans="1:14" x14ac:dyDescent="0.2">
      <c r="A197" s="12"/>
      <c r="B197" s="220" t="s">
        <v>15</v>
      </c>
      <c r="C197" s="6" t="str">
        <f t="shared" si="19"/>
        <v>PET</v>
      </c>
      <c r="D197" t="s">
        <v>1446</v>
      </c>
      <c r="E197">
        <f>C188*E160</f>
        <v>31.787279999999999</v>
      </c>
      <c r="F197" t="s">
        <v>10</v>
      </c>
      <c r="G197" s="32" t="str">
        <f>B187&amp;" * "&amp;D160</f>
        <v>TC_mixed_PYRO_solid  * rigid_PET_PRE_PYRO_mass_pyrolysis</v>
      </c>
      <c r="H197" s="220" t="s">
        <v>15</v>
      </c>
      <c r="I197" s="6" t="str">
        <f t="shared" si="21"/>
        <v>PET</v>
      </c>
      <c r="J197" t="s">
        <v>1462</v>
      </c>
      <c r="K197">
        <f>$C$187*E160</f>
        <v>1.7839799999999999</v>
      </c>
      <c r="L197" t="s">
        <v>10</v>
      </c>
      <c r="M197" t="str">
        <f t="shared" si="20"/>
        <v>rigid_PET_PRE_PYRO_mass_pyrolysis - rigid_PET_PYRO_PUR_mass_pyrolysis</v>
      </c>
      <c r="N197" s="12"/>
    </row>
    <row r="198" spans="1:14" x14ac:dyDescent="0.2">
      <c r="A198" s="12"/>
      <c r="B198" s="220"/>
      <c r="C198" s="6" t="str">
        <f t="shared" si="19"/>
        <v>PE</v>
      </c>
      <c r="D198" t="s">
        <v>1447</v>
      </c>
      <c r="E198">
        <f>$C$182*E161</f>
        <v>19.412946000000002</v>
      </c>
      <c r="F198" t="s">
        <v>10</v>
      </c>
      <c r="G198" s="32" t="str">
        <f>B183&amp;" * "&amp;D161</f>
        <v>TC_PE_PYRO_solid  * rigid_PE_PRE_PYRO_mass_pyrolysis</v>
      </c>
      <c r="H198" s="220"/>
      <c r="I198" s="6" t="str">
        <f t="shared" si="21"/>
        <v>PE</v>
      </c>
      <c r="J198" t="s">
        <v>1463</v>
      </c>
      <c r="K198">
        <f>$C$183*E161</f>
        <v>1.800198</v>
      </c>
      <c r="L198" t="s">
        <v>10</v>
      </c>
      <c r="M198" t="str">
        <f t="shared" si="20"/>
        <v>rigid_PE_PRE_PYRO_mass_pyrolysis - rigid_PE_PYRO_PUR_mass_pyrolysis</v>
      </c>
      <c r="N198" s="12"/>
    </row>
    <row r="199" spans="1:14" x14ac:dyDescent="0.2">
      <c r="A199" s="12"/>
      <c r="B199" s="220"/>
      <c r="C199" s="6" t="str">
        <f t="shared" si="19"/>
        <v>PP</v>
      </c>
      <c r="D199" t="s">
        <v>1448</v>
      </c>
      <c r="E199">
        <f>$C$184*E162</f>
        <v>43.540559999999999</v>
      </c>
      <c r="F199" t="s">
        <v>10</v>
      </c>
      <c r="G199" s="32" t="str">
        <f>B186&amp;" * "&amp;D162</f>
        <v>TC_mixed_PYRO_liquid  * rigid_PP_PRE_PYRO_mass_pyrolysis</v>
      </c>
      <c r="H199" s="220"/>
      <c r="I199" s="6" t="str">
        <f t="shared" si="21"/>
        <v>PP</v>
      </c>
      <c r="J199" t="s">
        <v>1464</v>
      </c>
      <c r="K199">
        <f>$C$185*E162</f>
        <v>3.8465279999999997</v>
      </c>
      <c r="L199" t="s">
        <v>10</v>
      </c>
      <c r="M199" t="str">
        <f t="shared" si="20"/>
        <v>rigid_PP_PRE_PYRO_mass_pyrolysis - rigid_PP_PYRO_PUR_mass_pyrolysis</v>
      </c>
      <c r="N199" s="12"/>
    </row>
    <row r="200" spans="1:14" x14ac:dyDescent="0.2">
      <c r="A200" s="12"/>
      <c r="B200" s="220"/>
      <c r="C200" s="6" t="str">
        <f t="shared" si="19"/>
        <v>PS</v>
      </c>
      <c r="D200" t="s">
        <v>1449</v>
      </c>
      <c r="E200">
        <f>$C$186*E163</f>
        <v>5.7006269999999999</v>
      </c>
      <c r="F200" t="s">
        <v>10</v>
      </c>
      <c r="G200" s="32" t="str">
        <f>B187&amp;" * "&amp;D163</f>
        <v>TC_mixed_PYRO_solid  * rigid_PS_PRE_PYRO_mass_pyrolysis</v>
      </c>
      <c r="H200" s="220"/>
      <c r="I200" s="6" t="str">
        <f t="shared" si="21"/>
        <v>PS</v>
      </c>
      <c r="J200" t="s">
        <v>1465</v>
      </c>
      <c r="K200">
        <f>$C$187*E163</f>
        <v>0.44599499999999997</v>
      </c>
      <c r="L200" t="s">
        <v>10</v>
      </c>
      <c r="M200" t="str">
        <f t="shared" si="20"/>
        <v>rigid_PS_PRE_PYRO_mass_pyrolysis - rigid_PS_PYRO_PUR_mass_pyrolysis</v>
      </c>
      <c r="N200" s="12"/>
    </row>
    <row r="201" spans="1:14" x14ac:dyDescent="0.2">
      <c r="A201" s="12"/>
      <c r="B201" s="220"/>
      <c r="C201" s="6" t="str">
        <f t="shared" si="19"/>
        <v>Other</v>
      </c>
      <c r="D201" t="s">
        <v>1450</v>
      </c>
      <c r="E201">
        <f>$C$186*E164</f>
        <v>28.50313499999999</v>
      </c>
      <c r="F201" t="s">
        <v>10</v>
      </c>
      <c r="G201" s="32" t="str">
        <f>B187&amp;" * "&amp;D164</f>
        <v>TC_mixed_PYRO_solid  * rigid_Oth_PRE_PYRO_mass_pyrolysis</v>
      </c>
      <c r="H201" s="220"/>
      <c r="I201" s="6" t="str">
        <f t="shared" si="21"/>
        <v>Other</v>
      </c>
      <c r="J201" t="s">
        <v>1466</v>
      </c>
      <c r="K201">
        <f>$C$187*E164</f>
        <v>2.2299749999999992</v>
      </c>
      <c r="L201" t="s">
        <v>10</v>
      </c>
      <c r="M201" t="str">
        <f t="shared" si="20"/>
        <v>rigid_Oth_PRE_PYRO_mass_pyrolysis - rigid_Oth_PYRO_PUR_mass_pyrolysis</v>
      </c>
      <c r="N201" s="12"/>
    </row>
    <row r="202" spans="1:14" x14ac:dyDescent="0.2">
      <c r="A202" s="12"/>
      <c r="B202" s="220" t="s">
        <v>42</v>
      </c>
      <c r="C202" s="6" t="str">
        <f t="shared" si="19"/>
        <v>PET</v>
      </c>
      <c r="D202" t="s">
        <v>1451</v>
      </c>
      <c r="E202">
        <f>C188*E165</f>
        <v>0</v>
      </c>
      <c r="F202" t="s">
        <v>10</v>
      </c>
      <c r="G202" s="32" t="str">
        <f>B187&amp;" * "&amp;D165</f>
        <v>TC_mixed_PYRO_solid  * soft_PET_PRE_PYRO_mass_pyrolysis</v>
      </c>
      <c r="H202" s="220" t="s">
        <v>42</v>
      </c>
      <c r="I202" s="6" t="str">
        <f t="shared" si="21"/>
        <v>PET</v>
      </c>
      <c r="J202" t="s">
        <v>1467</v>
      </c>
      <c r="K202">
        <f>$C$187*E165</f>
        <v>0</v>
      </c>
      <c r="L202" t="s">
        <v>10</v>
      </c>
      <c r="M202" t="str">
        <f t="shared" si="20"/>
        <v>soft_PET_PRE_PYRO_mass_pyrolysis - soft_PET_PYRO_PUR_mass_pyrolysis</v>
      </c>
      <c r="N202" s="12"/>
    </row>
    <row r="203" spans="1:14" x14ac:dyDescent="0.2">
      <c r="A203" s="12"/>
      <c r="B203" s="220"/>
      <c r="C203" s="6" t="str">
        <f t="shared" si="19"/>
        <v>PE</v>
      </c>
      <c r="D203" t="s">
        <v>1452</v>
      </c>
      <c r="E203">
        <f>$C$182*E166</f>
        <v>174.09168000000003</v>
      </c>
      <c r="F203" t="s">
        <v>10</v>
      </c>
      <c r="G203" s="32" t="str">
        <f>B184&amp;" * "&amp;D166</f>
        <v>TC_PP_PYRO_liquid  * soft_PE_PRE_PYRO_mass_pyrolysis</v>
      </c>
      <c r="H203" s="220"/>
      <c r="I203" s="6" t="str">
        <f t="shared" si="21"/>
        <v>PE</v>
      </c>
      <c r="J203" t="s">
        <v>1468</v>
      </c>
      <c r="K203">
        <f>$C$183*E166</f>
        <v>16.143840000000001</v>
      </c>
      <c r="L203" t="s">
        <v>10</v>
      </c>
      <c r="M203" t="str">
        <f t="shared" si="20"/>
        <v>soft_PE_PRE_PYRO_mass_pyrolysis - soft_PE_PYRO_PUR_mass_pyrolysis</v>
      </c>
      <c r="N203" s="12"/>
    </row>
    <row r="204" spans="1:14" x14ac:dyDescent="0.2">
      <c r="A204" s="12"/>
      <c r="B204" s="220"/>
      <c r="C204" s="6" t="str">
        <f t="shared" si="19"/>
        <v>PP</v>
      </c>
      <c r="D204" t="s">
        <v>1453</v>
      </c>
      <c r="E204">
        <f>$C$184*E167</f>
        <v>0</v>
      </c>
      <c r="F204" t="s">
        <v>10</v>
      </c>
      <c r="G204" s="32" t="str">
        <f>B185&amp;" * "&amp;D167</f>
        <v>TC_PP_PYRO_solid  * soft_PP_PRE_PYRO_mass_pyrolysis</v>
      </c>
      <c r="H204" s="220"/>
      <c r="I204" s="6" t="str">
        <f t="shared" si="21"/>
        <v>PP</v>
      </c>
      <c r="J204" t="s">
        <v>1469</v>
      </c>
      <c r="K204">
        <f>$C$185*E167</f>
        <v>0</v>
      </c>
      <c r="L204" t="s">
        <v>10</v>
      </c>
      <c r="M204" t="str">
        <f t="shared" si="20"/>
        <v>soft_PP_PRE_PYRO_mass_pyrolysis - soft_PP_PYRO_PUR_mass_pyrolysis</v>
      </c>
      <c r="N204" s="12"/>
    </row>
    <row r="205" spans="1:14" x14ac:dyDescent="0.2">
      <c r="A205" s="12"/>
      <c r="B205" s="220"/>
      <c r="C205" s="6" t="str">
        <f t="shared" si="19"/>
        <v>PS</v>
      </c>
      <c r="D205" t="s">
        <v>1454</v>
      </c>
      <c r="E205">
        <f>$C$186*E168</f>
        <v>0</v>
      </c>
      <c r="F205" t="s">
        <v>10</v>
      </c>
      <c r="G205" s="32" t="str">
        <f>B187&amp;" * "&amp;D168</f>
        <v>TC_mixed_PYRO_solid  * soft_PS_PRE_PYRO_mass_pyrolysis</v>
      </c>
      <c r="H205" s="220"/>
      <c r="I205" s="6" t="str">
        <f t="shared" si="21"/>
        <v>PS</v>
      </c>
      <c r="J205" t="s">
        <v>1470</v>
      </c>
      <c r="K205">
        <f>$C$187*E168</f>
        <v>0</v>
      </c>
      <c r="L205" t="s">
        <v>10</v>
      </c>
      <c r="M205" t="str">
        <f t="shared" si="20"/>
        <v>soft_PS_PRE_PYRO_mass_pyrolysis - soft_PS_PYRO_PUR_mass_pyrolysis</v>
      </c>
      <c r="N205" s="12"/>
    </row>
    <row r="206" spans="1:14" x14ac:dyDescent="0.2">
      <c r="A206" s="12"/>
      <c r="B206" s="227"/>
      <c r="C206" s="60" t="str">
        <f t="shared" si="19"/>
        <v>Other</v>
      </c>
      <c r="D206" s="44" t="s">
        <v>1455</v>
      </c>
      <c r="E206" s="44">
        <f>$C$186*E169</f>
        <v>57.006270000000022</v>
      </c>
      <c r="F206" s="44" t="s">
        <v>10</v>
      </c>
      <c r="G206" s="32" t="str">
        <f>B187&amp;" * "&amp;D169</f>
        <v>TC_mixed_PYRO_solid  * soft_Oth_PRE_PYRO_mass_pyrolysis</v>
      </c>
      <c r="H206" s="220"/>
      <c r="I206" s="6" t="str">
        <f t="shared" si="21"/>
        <v>Other</v>
      </c>
      <c r="J206" t="s">
        <v>1471</v>
      </c>
      <c r="K206">
        <f>$C$187*E169</f>
        <v>4.4599500000000019</v>
      </c>
      <c r="L206" t="s">
        <v>10</v>
      </c>
      <c r="M206" t="str">
        <f t="shared" si="20"/>
        <v>soft_Oth_PRE_PYRO_mass_pyrolysis - soft_Oth_PYRO_PUR_mass_pyrolysis</v>
      </c>
      <c r="N206" s="12"/>
    </row>
    <row r="207" spans="1:14" ht="25" customHeight="1" x14ac:dyDescent="0.2">
      <c r="A207" s="12"/>
      <c r="B207" s="214" t="s">
        <v>2840</v>
      </c>
      <c r="C207" s="214"/>
      <c r="D207" s="214"/>
      <c r="E207" s="214"/>
      <c r="F207" s="214"/>
      <c r="G207" s="214"/>
      <c r="H207" s="214"/>
      <c r="I207" s="214"/>
      <c r="J207" s="214"/>
      <c r="K207" s="214"/>
      <c r="L207" s="214"/>
      <c r="M207" s="214"/>
      <c r="N207" s="12"/>
    </row>
    <row r="208" spans="1:14" x14ac:dyDescent="0.2">
      <c r="A208" s="12"/>
      <c r="B208" s="53" t="s">
        <v>46</v>
      </c>
      <c r="C208" s="10" t="s">
        <v>3</v>
      </c>
      <c r="D208" s="10" t="s">
        <v>4</v>
      </c>
      <c r="E208" s="53" t="s">
        <v>7</v>
      </c>
      <c r="F208" s="10"/>
      <c r="G208" s="40"/>
      <c r="H208" s="53" t="s">
        <v>49</v>
      </c>
      <c r="I208" s="53" t="s">
        <v>3</v>
      </c>
      <c r="J208" s="53" t="s">
        <v>4</v>
      </c>
      <c r="K208" s="53" t="s">
        <v>7</v>
      </c>
      <c r="L208" s="10"/>
      <c r="M208" s="10"/>
      <c r="N208" s="12"/>
    </row>
    <row r="209" spans="1:14" x14ac:dyDescent="0.2">
      <c r="A209" s="12"/>
      <c r="B209" t="s">
        <v>1846</v>
      </c>
      <c r="C209">
        <f>SUM(E192:E196)</f>
        <v>228.073734</v>
      </c>
      <c r="D209" t="s">
        <v>10</v>
      </c>
      <c r="E209" t="s">
        <v>1477</v>
      </c>
      <c r="F209" s="2"/>
      <c r="G209" s="4"/>
      <c r="H209" t="s">
        <v>1843</v>
      </c>
      <c r="I209">
        <f>SUM(K192:K196)</f>
        <v>14.458347</v>
      </c>
      <c r="J209" t="s">
        <v>10</v>
      </c>
      <c r="K209" t="s">
        <v>1473</v>
      </c>
      <c r="L209" s="2"/>
      <c r="M209" s="2"/>
      <c r="N209" s="12"/>
    </row>
    <row r="210" spans="1:14" x14ac:dyDescent="0.2">
      <c r="A210" s="12"/>
      <c r="B210" t="s">
        <v>1847</v>
      </c>
      <c r="C210">
        <f>SUM(E197:E201)</f>
        <v>128.944548</v>
      </c>
      <c r="D210" t="s">
        <v>10</v>
      </c>
      <c r="E210" t="s">
        <v>1480</v>
      </c>
      <c r="F210" s="2"/>
      <c r="G210" s="4"/>
      <c r="H210" t="s">
        <v>1844</v>
      </c>
      <c r="I210">
        <f>SUM(K197:K201)</f>
        <v>10.106675999999998</v>
      </c>
      <c r="J210" t="s">
        <v>10</v>
      </c>
      <c r="K210" t="s">
        <v>1474</v>
      </c>
      <c r="L210" s="2"/>
      <c r="M210" s="2"/>
      <c r="N210" s="12"/>
    </row>
    <row r="211" spans="1:14" ht="16" thickBot="1" x14ac:dyDescent="0.25">
      <c r="A211" s="12"/>
      <c r="B211" s="8" t="s">
        <v>1848</v>
      </c>
      <c r="C211" s="8">
        <f>SUM(E202:E206)</f>
        <v>231.09795000000005</v>
      </c>
      <c r="D211" s="8" t="s">
        <v>10</v>
      </c>
      <c r="E211" s="8" t="s">
        <v>1479</v>
      </c>
      <c r="F211" s="37"/>
      <c r="G211" s="38"/>
      <c r="H211" s="8" t="s">
        <v>1845</v>
      </c>
      <c r="I211" s="8">
        <f>SUM(K202:K206)</f>
        <v>20.603790000000004</v>
      </c>
      <c r="J211" s="8" t="s">
        <v>10</v>
      </c>
      <c r="K211" s="8" t="s">
        <v>1475</v>
      </c>
      <c r="L211" s="37"/>
      <c r="M211" s="37"/>
      <c r="N211" s="12"/>
    </row>
    <row r="212" spans="1:14" ht="16" thickTop="1" x14ac:dyDescent="0.2">
      <c r="A212" s="12"/>
      <c r="B212" s="44" t="s">
        <v>1456</v>
      </c>
      <c r="C212" s="44">
        <f>SUM(C209:C211)</f>
        <v>588.11623200000008</v>
      </c>
      <c r="D212" s="44" t="s">
        <v>10</v>
      </c>
      <c r="E212" s="44" t="s">
        <v>1478</v>
      </c>
      <c r="F212" s="56"/>
      <c r="G212" s="57"/>
      <c r="H212" s="44" t="s">
        <v>1472</v>
      </c>
      <c r="I212" s="44">
        <f>SUM(I209:I211)</f>
        <v>45.168813</v>
      </c>
      <c r="J212" s="44" t="s">
        <v>10</v>
      </c>
      <c r="K212" s="44" t="s">
        <v>1476</v>
      </c>
      <c r="L212" s="56"/>
      <c r="M212" s="56"/>
      <c r="N212" s="12"/>
    </row>
    <row r="213" spans="1:14" x14ac:dyDescent="0.2">
      <c r="A213" s="12"/>
      <c r="B213" s="44" t="s">
        <v>219</v>
      </c>
      <c r="C213" s="44"/>
      <c r="D213" s="44"/>
      <c r="E213" s="44">
        <f>C175-C212-I212</f>
        <v>68.075955000000022</v>
      </c>
      <c r="F213" s="44" t="s">
        <v>10</v>
      </c>
      <c r="G213" s="57"/>
      <c r="H213" s="143"/>
      <c r="I213" s="144"/>
      <c r="J213" s="144"/>
      <c r="K213" s="144"/>
      <c r="L213" s="55"/>
      <c r="M213" s="55"/>
      <c r="N213" s="12"/>
    </row>
    <row r="214" spans="1:14" x14ac:dyDescent="0.2">
      <c r="A214" s="12"/>
      <c r="B214" s="139" t="s">
        <v>2704</v>
      </c>
      <c r="C214" s="140" t="str">
        <f>IF(C212+E213+I212=C175,"true")</f>
        <v>true</v>
      </c>
      <c r="D214" s="139"/>
      <c r="E214" s="141"/>
      <c r="F214" s="139"/>
      <c r="G214" s="139"/>
      <c r="H214" s="142"/>
      <c r="I214" s="140"/>
      <c r="J214" s="139"/>
      <c r="K214" s="141"/>
      <c r="L214" s="139"/>
      <c r="M214" s="139"/>
      <c r="N214" s="12"/>
    </row>
    <row r="215" spans="1:14" x14ac:dyDescent="0.2">
      <c r="A215" s="12"/>
      <c r="B215" s="90"/>
      <c r="C215" s="89"/>
      <c r="D215" s="12"/>
      <c r="E215" s="13"/>
      <c r="F215" s="12"/>
      <c r="G215" s="12"/>
      <c r="H215" s="90"/>
      <c r="I215" s="89"/>
      <c r="J215" s="12"/>
      <c r="K215" s="13"/>
      <c r="L215" s="12"/>
      <c r="M215" s="12"/>
      <c r="N215" s="12"/>
    </row>
    <row r="216" spans="1:14" x14ac:dyDescent="0.2">
      <c r="A216" s="12"/>
      <c r="B216" s="90"/>
      <c r="C216" s="89"/>
      <c r="D216" s="12"/>
      <c r="E216" s="13"/>
      <c r="F216" s="12"/>
      <c r="G216" s="12"/>
      <c r="H216" s="90"/>
      <c r="I216" s="89"/>
      <c r="J216" s="12"/>
      <c r="K216" s="13"/>
      <c r="L216" s="12"/>
      <c r="M216" s="12"/>
      <c r="N216" s="12"/>
    </row>
    <row r="217" spans="1:14" ht="25" customHeight="1" x14ac:dyDescent="0.2">
      <c r="A217" s="12"/>
      <c r="B217" s="214" t="s">
        <v>1439</v>
      </c>
      <c r="C217" s="214"/>
      <c r="D217" s="214"/>
      <c r="E217" s="214"/>
      <c r="F217" s="214"/>
      <c r="G217" s="214"/>
      <c r="H217" s="214"/>
      <c r="I217" s="214"/>
      <c r="J217" s="214"/>
      <c r="K217" s="214"/>
      <c r="L217" s="214"/>
      <c r="M217" s="214"/>
      <c r="N217" s="12"/>
    </row>
    <row r="218" spans="1:14" x14ac:dyDescent="0.2">
      <c r="A218" s="12"/>
      <c r="B218" s="118" t="str">
        <f t="shared" ref="B218:H218" si="22">B181</f>
        <v>Parameters</v>
      </c>
      <c r="C218" s="118" t="str">
        <f t="shared" si="22"/>
        <v>Value (average)</v>
      </c>
      <c r="D218" s="118" t="str">
        <f t="shared" si="22"/>
        <v>Min</v>
      </c>
      <c r="E218" s="118" t="str">
        <f t="shared" si="22"/>
        <v>Max</v>
      </c>
      <c r="F218" s="118" t="str">
        <f t="shared" si="22"/>
        <v>Unit</v>
      </c>
      <c r="G218" s="118" t="str">
        <f t="shared" si="22"/>
        <v>Description</v>
      </c>
      <c r="H218" s="118" t="str">
        <f t="shared" si="22"/>
        <v>Reference</v>
      </c>
      <c r="I218" s="119"/>
      <c r="J218" s="119"/>
      <c r="K218" s="119"/>
      <c r="L218" s="119"/>
      <c r="M218" s="119"/>
      <c r="N218" s="12"/>
    </row>
    <row r="219" spans="1:14" x14ac:dyDescent="0.2">
      <c r="A219" s="12"/>
      <c r="B219" s="106" t="str">
        <f>'info, structure, parameters'!A182</f>
        <v xml:space="preserve">TC_mixed_PUR_POLY </v>
      </c>
      <c r="C219" s="106">
        <f>'info, structure, parameters'!B182</f>
        <v>0.98</v>
      </c>
      <c r="D219" s="106">
        <f>'info, structure, parameters'!C182</f>
        <v>0</v>
      </c>
      <c r="E219" s="106">
        <f>'info, structure, parameters'!D182</f>
        <v>0.98</v>
      </c>
      <c r="F219" s="106">
        <f>'info, structure, parameters'!E182</f>
        <v>0.98</v>
      </c>
      <c r="G219" s="106" t="str">
        <f>'info, structure, parameters'!F182</f>
        <v>Transfer coefficient of PE that is purified for polymerization</v>
      </c>
      <c r="H219" s="106">
        <f>'info, structure, parameters'!G182</f>
        <v>5</v>
      </c>
      <c r="I219" s="115"/>
      <c r="J219" s="106"/>
      <c r="K219" s="106"/>
      <c r="L219" s="106"/>
      <c r="M219" s="106"/>
      <c r="N219" s="12"/>
    </row>
    <row r="220" spans="1:14" x14ac:dyDescent="0.2">
      <c r="A220" s="12"/>
      <c r="B220" s="106" t="str">
        <f>'info, structure, parameters'!A183</f>
        <v xml:space="preserve">TC_mixed_PUR_HVR </v>
      </c>
      <c r="C220" s="106">
        <f>'info, structure, parameters'!B183</f>
        <v>0.02</v>
      </c>
      <c r="D220" s="106">
        <f>'info, structure, parameters'!C183</f>
        <v>0</v>
      </c>
      <c r="E220" s="106">
        <f>'info, structure, parameters'!D183</f>
        <v>0.02</v>
      </c>
      <c r="F220" s="106">
        <f>'info, structure, parameters'!E183</f>
        <v>0.02</v>
      </c>
      <c r="G220" s="106" t="str">
        <f>'info, structure, parameters'!F183</f>
        <v>Transfer coefficient of PE that is turned to heavy vacuum residues from purifiaction</v>
      </c>
      <c r="H220" s="106">
        <f>'info, structure, parameters'!G183</f>
        <v>5</v>
      </c>
      <c r="I220" s="115"/>
      <c r="J220" s="106"/>
      <c r="K220" s="106"/>
      <c r="L220" s="106"/>
      <c r="M220" s="106"/>
      <c r="N220" s="12"/>
    </row>
    <row r="221" spans="1:14" ht="25" customHeight="1" x14ac:dyDescent="0.2">
      <c r="A221" s="12"/>
      <c r="B221" s="214" t="s">
        <v>1440</v>
      </c>
      <c r="C221" s="214"/>
      <c r="D221" s="214"/>
      <c r="E221" s="214"/>
      <c r="F221" s="214"/>
      <c r="G221" s="214"/>
      <c r="H221" s="214"/>
      <c r="I221" s="214"/>
      <c r="J221" s="214"/>
      <c r="K221" s="214"/>
      <c r="L221" s="214"/>
      <c r="M221" s="214"/>
      <c r="N221" s="12"/>
    </row>
    <row r="222" spans="1:14" ht="25" customHeight="1" x14ac:dyDescent="0.2">
      <c r="A222" s="12"/>
      <c r="B222" s="214" t="s">
        <v>211</v>
      </c>
      <c r="C222" s="214"/>
      <c r="D222" s="214"/>
      <c r="E222" s="214"/>
      <c r="F222" s="214"/>
      <c r="G222" s="223"/>
      <c r="H222" s="214" t="s">
        <v>212</v>
      </c>
      <c r="I222" s="214"/>
      <c r="J222" s="214"/>
      <c r="K222" s="214"/>
      <c r="L222" s="214"/>
      <c r="M222" s="214"/>
      <c r="N222" s="12"/>
    </row>
    <row r="223" spans="1:14" x14ac:dyDescent="0.2">
      <c r="A223" s="12"/>
      <c r="B223" s="2" t="s">
        <v>21</v>
      </c>
      <c r="C223" s="3" t="s">
        <v>20</v>
      </c>
      <c r="D223" s="2" t="s">
        <v>99</v>
      </c>
      <c r="E223" s="2" t="s">
        <v>3</v>
      </c>
      <c r="F223" s="2" t="s">
        <v>4</v>
      </c>
      <c r="G223" s="4" t="s">
        <v>43</v>
      </c>
      <c r="H223" s="2" t="s">
        <v>21</v>
      </c>
      <c r="I223" s="3" t="s">
        <v>20</v>
      </c>
      <c r="J223" s="2" t="str">
        <f>D223</f>
        <v>Name</v>
      </c>
      <c r="K223" s="2" t="s">
        <v>3</v>
      </c>
      <c r="L223" s="2" t="s">
        <v>4</v>
      </c>
      <c r="M223" s="2" t="s">
        <v>43</v>
      </c>
      <c r="N223" s="12"/>
    </row>
    <row r="224" spans="1:14" x14ac:dyDescent="0.2">
      <c r="A224" s="12"/>
      <c r="B224" s="220" t="s">
        <v>14</v>
      </c>
      <c r="C224" s="6" t="str">
        <f t="shared" ref="C224:C238" si="23">C192</f>
        <v>PET</v>
      </c>
      <c r="D224" t="s">
        <v>1481</v>
      </c>
      <c r="E224" s="33">
        <f>E192</f>
        <v>182.77686</v>
      </c>
      <c r="F224" t="s">
        <v>10</v>
      </c>
      <c r="G224" s="32" t="str">
        <f>D192</f>
        <v>bottle_PET_PYRO_PUR_mass_pyrolysis</v>
      </c>
      <c r="H224" s="220" t="s">
        <v>14</v>
      </c>
      <c r="I224" s="6" t="str">
        <f>C224</f>
        <v>PET</v>
      </c>
      <c r="J224" t="s">
        <v>1501</v>
      </c>
      <c r="K224" s="33">
        <f>E192-E224</f>
        <v>0</v>
      </c>
      <c r="L224" t="s">
        <v>10</v>
      </c>
      <c r="M224" t="str">
        <f>$B$220&amp;" * "&amp;D192</f>
        <v>TC_mixed_PUR_HVR  * bottle_PET_PYRO_PUR_mass_pyrolysis</v>
      </c>
      <c r="N224" s="12"/>
    </row>
    <row r="225" spans="1:14" x14ac:dyDescent="0.2">
      <c r="A225" s="12"/>
      <c r="B225" s="220"/>
      <c r="C225" s="6" t="str">
        <f t="shared" si="23"/>
        <v>PE</v>
      </c>
      <c r="D225" t="s">
        <v>1482</v>
      </c>
      <c r="E225" s="33">
        <f t="shared" ref="E225:E238" si="24">$C$219*E193</f>
        <v>44.390936520000004</v>
      </c>
      <c r="F225" t="s">
        <v>10</v>
      </c>
      <c r="G225" s="32" t="str">
        <f t="shared" ref="G225:G238" si="25">$B$219&amp;" * "&amp;D193</f>
        <v>TC_mixed_PUR_POLY  * bottle_PE_PYRO_PUR_mass_pyrolysis</v>
      </c>
      <c r="H225" s="220"/>
      <c r="I225" s="6" t="str">
        <f t="shared" ref="I225:I238" si="26">C225</f>
        <v>PE</v>
      </c>
      <c r="J225" t="s">
        <v>1502</v>
      </c>
      <c r="K225" s="33">
        <f>$C$220*E193</f>
        <v>0.90593748000000007</v>
      </c>
      <c r="L225" t="s">
        <v>10</v>
      </c>
      <c r="M225" t="str">
        <f t="shared" ref="M225:M238" si="27">$B$220&amp;" * "&amp;D193</f>
        <v>TC_mixed_PUR_HVR  * bottle_PE_PYRO_PUR_mass_pyrolysis</v>
      </c>
      <c r="N225" s="12"/>
    </row>
    <row r="226" spans="1:14" x14ac:dyDescent="0.2">
      <c r="A226" s="12"/>
      <c r="B226" s="220"/>
      <c r="C226" s="6" t="str">
        <f t="shared" si="23"/>
        <v>PP</v>
      </c>
      <c r="D226" t="s">
        <v>1483</v>
      </c>
      <c r="E226" s="33">
        <f t="shared" si="24"/>
        <v>0</v>
      </c>
      <c r="F226" t="s">
        <v>10</v>
      </c>
      <c r="G226" s="32" t="str">
        <f t="shared" si="25"/>
        <v>TC_mixed_PUR_POLY  * bottle_PP_PYRO_PUR_mass_pyrolysis</v>
      </c>
      <c r="H226" s="220"/>
      <c r="I226" s="6" t="str">
        <f t="shared" si="26"/>
        <v>PP</v>
      </c>
      <c r="J226" t="s">
        <v>1503</v>
      </c>
      <c r="K226" s="33">
        <f t="shared" ref="K226:K238" si="28">$C$220*E194</f>
        <v>0</v>
      </c>
      <c r="L226" t="s">
        <v>10</v>
      </c>
      <c r="M226" t="str">
        <f t="shared" si="27"/>
        <v>TC_mixed_PUR_HVR  * bottle_PP_PYRO_PUR_mass_pyrolysis</v>
      </c>
      <c r="N226" s="12"/>
    </row>
    <row r="227" spans="1:14" x14ac:dyDescent="0.2">
      <c r="A227" s="12"/>
      <c r="B227" s="220"/>
      <c r="C227" s="6" t="str">
        <f t="shared" si="23"/>
        <v>PS</v>
      </c>
      <c r="D227" t="s">
        <v>1484</v>
      </c>
      <c r="E227" s="33">
        <f t="shared" si="24"/>
        <v>0</v>
      </c>
      <c r="F227" t="s">
        <v>10</v>
      </c>
      <c r="G227" s="32" t="str">
        <f t="shared" si="25"/>
        <v>TC_mixed_PUR_POLY  * bottle_PS_PYRO_PUR_mass_pyrolysis</v>
      </c>
      <c r="H227" s="220"/>
      <c r="I227" s="6" t="str">
        <f t="shared" si="26"/>
        <v>PS</v>
      </c>
      <c r="J227" t="s">
        <v>1504</v>
      </c>
      <c r="K227" s="33">
        <f t="shared" si="28"/>
        <v>0</v>
      </c>
      <c r="L227" t="s">
        <v>10</v>
      </c>
      <c r="M227" t="str">
        <f t="shared" si="27"/>
        <v>TC_mixed_PUR_HVR  * bottle_PS_PYRO_PUR_mass_pyrolysis</v>
      </c>
      <c r="N227" s="12"/>
    </row>
    <row r="228" spans="1:14" x14ac:dyDescent="0.2">
      <c r="A228" s="12"/>
      <c r="B228" s="220"/>
      <c r="C228" s="6" t="str">
        <f t="shared" si="23"/>
        <v>Other</v>
      </c>
      <c r="D228" t="s">
        <v>1485</v>
      </c>
      <c r="E228" s="33">
        <f t="shared" si="24"/>
        <v>0</v>
      </c>
      <c r="F228" t="s">
        <v>10</v>
      </c>
      <c r="G228" s="32" t="str">
        <f t="shared" si="25"/>
        <v>TC_mixed_PUR_POLY  * bottle_Oth_PYRO_PUR_mass_pyrolysis</v>
      </c>
      <c r="H228" s="220"/>
      <c r="I228" s="6" t="str">
        <f t="shared" si="26"/>
        <v>Other</v>
      </c>
      <c r="J228" t="s">
        <v>1505</v>
      </c>
      <c r="K228" s="33">
        <f t="shared" si="28"/>
        <v>0</v>
      </c>
      <c r="L228" t="s">
        <v>10</v>
      </c>
      <c r="M228" t="str">
        <f t="shared" si="27"/>
        <v>TC_mixed_PUR_HVR  * bottle_Oth_PYRO_PUR_mass_pyrolysis</v>
      </c>
      <c r="N228" s="12"/>
    </row>
    <row r="229" spans="1:14" x14ac:dyDescent="0.2">
      <c r="A229" s="12"/>
      <c r="B229" s="220" t="s">
        <v>15</v>
      </c>
      <c r="C229" s="6" t="str">
        <f t="shared" si="23"/>
        <v>PET</v>
      </c>
      <c r="D229" t="s">
        <v>1486</v>
      </c>
      <c r="E229" s="33">
        <f>E197</f>
        <v>31.787279999999999</v>
      </c>
      <c r="F229" t="s">
        <v>10</v>
      </c>
      <c r="G229" s="32" t="str">
        <f>D197</f>
        <v>rigid_PET_PYRO_PUR_mass_pyrolysis</v>
      </c>
      <c r="H229" s="220" t="s">
        <v>15</v>
      </c>
      <c r="I229" s="6" t="str">
        <f t="shared" si="26"/>
        <v>PET</v>
      </c>
      <c r="J229" t="s">
        <v>1506</v>
      </c>
      <c r="K229" s="33">
        <f>E197-E229</f>
        <v>0</v>
      </c>
      <c r="L229" t="s">
        <v>10</v>
      </c>
      <c r="M229" t="str">
        <f t="shared" si="27"/>
        <v>TC_mixed_PUR_HVR  * rigid_PET_PYRO_PUR_mass_pyrolysis</v>
      </c>
      <c r="N229" s="12"/>
    </row>
    <row r="230" spans="1:14" x14ac:dyDescent="0.2">
      <c r="A230" s="12"/>
      <c r="B230" s="220"/>
      <c r="C230" s="6" t="str">
        <f t="shared" si="23"/>
        <v>PE</v>
      </c>
      <c r="D230" t="s">
        <v>1487</v>
      </c>
      <c r="E230" s="33">
        <f t="shared" si="24"/>
        <v>19.02468708</v>
      </c>
      <c r="F230" t="s">
        <v>10</v>
      </c>
      <c r="G230" s="32" t="str">
        <f t="shared" si="25"/>
        <v>TC_mixed_PUR_POLY  * rigid_PE_PYRO_PUR_mass_pyrolysis</v>
      </c>
      <c r="H230" s="220"/>
      <c r="I230" s="6" t="str">
        <f t="shared" si="26"/>
        <v>PE</v>
      </c>
      <c r="J230" t="s">
        <v>1507</v>
      </c>
      <c r="K230" s="33">
        <f t="shared" si="28"/>
        <v>0.38825892000000006</v>
      </c>
      <c r="L230" t="s">
        <v>10</v>
      </c>
      <c r="M230" t="str">
        <f t="shared" si="27"/>
        <v>TC_mixed_PUR_HVR  * rigid_PE_PYRO_PUR_mass_pyrolysis</v>
      </c>
      <c r="N230" s="12"/>
    </row>
    <row r="231" spans="1:14" x14ac:dyDescent="0.2">
      <c r="A231" s="12"/>
      <c r="B231" s="220"/>
      <c r="C231" s="6" t="str">
        <f t="shared" si="23"/>
        <v>PP</v>
      </c>
      <c r="D231" t="s">
        <v>1488</v>
      </c>
      <c r="E231" s="33">
        <f t="shared" si="24"/>
        <v>42.669748800000001</v>
      </c>
      <c r="F231" t="s">
        <v>10</v>
      </c>
      <c r="G231" s="32" t="str">
        <f t="shared" si="25"/>
        <v>TC_mixed_PUR_POLY  * rigid_PP_PYRO_PUR_mass_pyrolysis</v>
      </c>
      <c r="H231" s="220"/>
      <c r="I231" s="6" t="str">
        <f t="shared" si="26"/>
        <v>PP</v>
      </c>
      <c r="J231" t="s">
        <v>1508</v>
      </c>
      <c r="K231" s="33">
        <f t="shared" si="28"/>
        <v>0.87081120000000001</v>
      </c>
      <c r="L231" t="s">
        <v>10</v>
      </c>
      <c r="M231" t="str">
        <f t="shared" si="27"/>
        <v>TC_mixed_PUR_HVR  * rigid_PP_PYRO_PUR_mass_pyrolysis</v>
      </c>
      <c r="N231" s="12"/>
    </row>
    <row r="232" spans="1:14" x14ac:dyDescent="0.2">
      <c r="A232" s="12"/>
      <c r="B232" s="220"/>
      <c r="C232" s="6" t="str">
        <f t="shared" si="23"/>
        <v>PS</v>
      </c>
      <c r="D232" t="s">
        <v>1489</v>
      </c>
      <c r="E232" s="33">
        <f t="shared" si="24"/>
        <v>5.5866144599999998</v>
      </c>
      <c r="F232" t="s">
        <v>10</v>
      </c>
      <c r="G232" s="32" t="str">
        <f t="shared" si="25"/>
        <v>TC_mixed_PUR_POLY  * rigid_PS_PYRO_PUR_mass_pyrolysis</v>
      </c>
      <c r="H232" s="220"/>
      <c r="I232" s="6" t="str">
        <f t="shared" si="26"/>
        <v>PS</v>
      </c>
      <c r="J232" t="s">
        <v>1509</v>
      </c>
      <c r="K232" s="33">
        <f t="shared" si="28"/>
        <v>0.11401254</v>
      </c>
      <c r="L232" t="s">
        <v>10</v>
      </c>
      <c r="M232" t="str">
        <f t="shared" si="27"/>
        <v>TC_mixed_PUR_HVR  * rigid_PS_PYRO_PUR_mass_pyrolysis</v>
      </c>
      <c r="N232" s="12"/>
    </row>
    <row r="233" spans="1:14" x14ac:dyDescent="0.2">
      <c r="A233" s="12"/>
      <c r="B233" s="220"/>
      <c r="C233" s="6" t="str">
        <f t="shared" si="23"/>
        <v>Other</v>
      </c>
      <c r="D233" t="s">
        <v>1490</v>
      </c>
      <c r="E233" s="33">
        <f t="shared" si="24"/>
        <v>27.933072299999989</v>
      </c>
      <c r="F233" t="s">
        <v>10</v>
      </c>
      <c r="G233" s="32" t="str">
        <f t="shared" si="25"/>
        <v>TC_mixed_PUR_POLY  * rigid_Oth_PYRO_PUR_mass_pyrolysis</v>
      </c>
      <c r="H233" s="220"/>
      <c r="I233" s="6" t="str">
        <f t="shared" si="26"/>
        <v>Other</v>
      </c>
      <c r="J233" t="s">
        <v>1510</v>
      </c>
      <c r="K233" s="33">
        <f t="shared" si="28"/>
        <v>0.57006269999999981</v>
      </c>
      <c r="L233" t="s">
        <v>10</v>
      </c>
      <c r="M233" t="str">
        <f t="shared" si="27"/>
        <v>TC_mixed_PUR_HVR  * rigid_Oth_PYRO_PUR_mass_pyrolysis</v>
      </c>
      <c r="N233" s="12"/>
    </row>
    <row r="234" spans="1:14" x14ac:dyDescent="0.2">
      <c r="A234" s="12"/>
      <c r="B234" s="220" t="s">
        <v>42</v>
      </c>
      <c r="C234" s="6" t="str">
        <f t="shared" si="23"/>
        <v>PET</v>
      </c>
      <c r="D234" t="s">
        <v>1491</v>
      </c>
      <c r="E234" s="33">
        <f>E202</f>
        <v>0</v>
      </c>
      <c r="F234" t="s">
        <v>10</v>
      </c>
      <c r="G234" s="32" t="str">
        <f>D202</f>
        <v>soft_PET_PYRO_PUR_mass_pyrolysis</v>
      </c>
      <c r="H234" s="220" t="s">
        <v>42</v>
      </c>
      <c r="I234" s="6" t="str">
        <f t="shared" si="26"/>
        <v>PET</v>
      </c>
      <c r="J234" t="s">
        <v>1511</v>
      </c>
      <c r="K234" s="33">
        <f>E202-E234</f>
        <v>0</v>
      </c>
      <c r="L234" t="s">
        <v>10</v>
      </c>
      <c r="M234" t="str">
        <f t="shared" si="27"/>
        <v>TC_mixed_PUR_HVR  * soft_PET_PYRO_PUR_mass_pyrolysis</v>
      </c>
      <c r="N234" s="12"/>
    </row>
    <row r="235" spans="1:14" x14ac:dyDescent="0.2">
      <c r="A235" s="12"/>
      <c r="B235" s="220"/>
      <c r="C235" s="6" t="str">
        <f t="shared" si="23"/>
        <v>PE</v>
      </c>
      <c r="D235" t="s">
        <v>1492</v>
      </c>
      <c r="E235" s="33">
        <f t="shared" si="24"/>
        <v>170.60984640000001</v>
      </c>
      <c r="F235" t="s">
        <v>10</v>
      </c>
      <c r="G235" s="32" t="str">
        <f t="shared" si="25"/>
        <v>TC_mixed_PUR_POLY  * soft_PE_PYRO_PUR_mass_pyrolysis</v>
      </c>
      <c r="H235" s="220"/>
      <c r="I235" s="6" t="str">
        <f t="shared" si="26"/>
        <v>PE</v>
      </c>
      <c r="J235" t="s">
        <v>1512</v>
      </c>
      <c r="K235" s="33">
        <f t="shared" si="28"/>
        <v>3.4818336000000008</v>
      </c>
      <c r="L235" t="s">
        <v>10</v>
      </c>
      <c r="M235" t="str">
        <f t="shared" si="27"/>
        <v>TC_mixed_PUR_HVR  * soft_PE_PYRO_PUR_mass_pyrolysis</v>
      </c>
      <c r="N235" s="12"/>
    </row>
    <row r="236" spans="1:14" x14ac:dyDescent="0.2">
      <c r="A236" s="12"/>
      <c r="B236" s="220"/>
      <c r="C236" s="6" t="str">
        <f t="shared" si="23"/>
        <v>PP</v>
      </c>
      <c r="D236" t="s">
        <v>1493</v>
      </c>
      <c r="E236" s="33">
        <f t="shared" si="24"/>
        <v>0</v>
      </c>
      <c r="F236" t="s">
        <v>10</v>
      </c>
      <c r="G236" s="32" t="str">
        <f t="shared" si="25"/>
        <v>TC_mixed_PUR_POLY  * soft_PP_PYRO_PUR_mass_pyrolysis</v>
      </c>
      <c r="H236" s="220"/>
      <c r="I236" s="6" t="str">
        <f t="shared" si="26"/>
        <v>PP</v>
      </c>
      <c r="J236" t="s">
        <v>1513</v>
      </c>
      <c r="K236" s="33">
        <f t="shared" si="28"/>
        <v>0</v>
      </c>
      <c r="L236" t="s">
        <v>10</v>
      </c>
      <c r="M236" t="str">
        <f t="shared" si="27"/>
        <v>TC_mixed_PUR_HVR  * soft_PP_PYRO_PUR_mass_pyrolysis</v>
      </c>
      <c r="N236" s="12"/>
    </row>
    <row r="237" spans="1:14" x14ac:dyDescent="0.2">
      <c r="A237" s="12"/>
      <c r="B237" s="220"/>
      <c r="C237" s="6" t="str">
        <f t="shared" si="23"/>
        <v>PS</v>
      </c>
      <c r="D237" t="s">
        <v>1494</v>
      </c>
      <c r="E237" s="33">
        <f t="shared" si="24"/>
        <v>0</v>
      </c>
      <c r="F237" t="s">
        <v>10</v>
      </c>
      <c r="G237" s="32" t="str">
        <f t="shared" si="25"/>
        <v>TC_mixed_PUR_POLY  * soft_PS_PYRO_PUR_mass_pyrolysis</v>
      </c>
      <c r="H237" s="220"/>
      <c r="I237" s="6" t="str">
        <f t="shared" si="26"/>
        <v>PS</v>
      </c>
      <c r="J237" t="s">
        <v>1514</v>
      </c>
      <c r="K237" s="33">
        <f t="shared" si="28"/>
        <v>0</v>
      </c>
      <c r="L237" t="s">
        <v>10</v>
      </c>
      <c r="M237" t="str">
        <f>$B$220&amp;" * "&amp;D205</f>
        <v>TC_mixed_PUR_HVR  * soft_PS_PYRO_PUR_mass_pyrolysis</v>
      </c>
      <c r="N237" s="12"/>
    </row>
    <row r="238" spans="1:14" x14ac:dyDescent="0.2">
      <c r="A238" s="12"/>
      <c r="B238" s="227"/>
      <c r="C238" s="60" t="str">
        <f t="shared" si="23"/>
        <v>Other</v>
      </c>
      <c r="D238" s="44" t="s">
        <v>1495</v>
      </c>
      <c r="E238" s="33">
        <f t="shared" si="24"/>
        <v>55.86614460000002</v>
      </c>
      <c r="F238" s="44" t="s">
        <v>10</v>
      </c>
      <c r="G238" s="61" t="str">
        <f t="shared" si="25"/>
        <v>TC_mixed_PUR_POLY  * soft_Oth_PYRO_PUR_mass_pyrolysis</v>
      </c>
      <c r="H238" s="220"/>
      <c r="I238" s="6" t="str">
        <f t="shared" si="26"/>
        <v>Other</v>
      </c>
      <c r="J238" t="s">
        <v>1515</v>
      </c>
      <c r="K238" s="62">
        <f t="shared" si="28"/>
        <v>1.1401254000000005</v>
      </c>
      <c r="L238" t="s">
        <v>10</v>
      </c>
      <c r="M238" t="str">
        <f t="shared" si="27"/>
        <v>TC_mixed_PUR_HVR  * soft_Oth_PYRO_PUR_mass_pyrolysis</v>
      </c>
      <c r="N238" s="12"/>
    </row>
    <row r="239" spans="1:14" ht="25" customHeight="1" x14ac:dyDescent="0.2">
      <c r="A239" s="12"/>
      <c r="B239" s="214" t="s">
        <v>45</v>
      </c>
      <c r="C239" s="214"/>
      <c r="D239" s="214"/>
      <c r="E239" s="214"/>
      <c r="F239" s="214"/>
      <c r="G239" s="214"/>
      <c r="H239" s="214"/>
      <c r="I239" s="214"/>
      <c r="J239" s="214"/>
      <c r="K239" s="214"/>
      <c r="L239" s="214"/>
      <c r="M239" s="214"/>
      <c r="N239" s="12"/>
    </row>
    <row r="240" spans="1:14" x14ac:dyDescent="0.2">
      <c r="A240" s="12"/>
      <c r="B240" s="53" t="s">
        <v>46</v>
      </c>
      <c r="C240" s="10" t="s">
        <v>3</v>
      </c>
      <c r="D240" s="10" t="s">
        <v>4</v>
      </c>
      <c r="E240" s="53" t="s">
        <v>7</v>
      </c>
      <c r="F240" s="10"/>
      <c r="G240" s="40"/>
      <c r="H240" s="53" t="s">
        <v>49</v>
      </c>
      <c r="I240" s="53" t="s">
        <v>3</v>
      </c>
      <c r="J240" s="53" t="s">
        <v>4</v>
      </c>
      <c r="K240" s="53" t="s">
        <v>7</v>
      </c>
      <c r="L240" s="10"/>
      <c r="M240" s="10"/>
      <c r="N240" s="12"/>
    </row>
    <row r="241" spans="1:14" x14ac:dyDescent="0.2">
      <c r="A241" s="12"/>
      <c r="B241" t="s">
        <v>1860</v>
      </c>
      <c r="C241" s="33">
        <f>SUM(E224:E228)</f>
        <v>227.16779652</v>
      </c>
      <c r="D241" t="s">
        <v>10</v>
      </c>
      <c r="E241" t="s">
        <v>1497</v>
      </c>
      <c r="F241" s="2"/>
      <c r="G241" s="4"/>
      <c r="H241" t="s">
        <v>1857</v>
      </c>
      <c r="I241" s="33">
        <f>SUM(K224:K228)</f>
        <v>0.90593748000000007</v>
      </c>
      <c r="J241" t="s">
        <v>10</v>
      </c>
      <c r="K241" t="s">
        <v>1553</v>
      </c>
      <c r="L241" s="2"/>
      <c r="M241" s="2"/>
      <c r="N241" s="12"/>
    </row>
    <row r="242" spans="1:14" x14ac:dyDescent="0.2">
      <c r="A242" s="12"/>
      <c r="B242" t="s">
        <v>1861</v>
      </c>
      <c r="C242" s="33">
        <f>SUM(E229:E233)</f>
        <v>127.00140263999998</v>
      </c>
      <c r="D242" t="s">
        <v>10</v>
      </c>
      <c r="E242" t="s">
        <v>1498</v>
      </c>
      <c r="F242" s="2"/>
      <c r="G242" s="4"/>
      <c r="H242" t="s">
        <v>1858</v>
      </c>
      <c r="I242" s="33">
        <f>SUM(K229:K233)</f>
        <v>1.9431453599999999</v>
      </c>
      <c r="J242" t="s">
        <v>10</v>
      </c>
      <c r="K242" t="s">
        <v>1554</v>
      </c>
      <c r="L242" s="2"/>
      <c r="M242" s="2"/>
      <c r="N242" s="12"/>
    </row>
    <row r="243" spans="1:14" ht="16" thickBot="1" x14ac:dyDescent="0.25">
      <c r="A243" s="12"/>
      <c r="B243" s="8" t="s">
        <v>1862</v>
      </c>
      <c r="C243" s="34">
        <f>SUM(E234:E238)</f>
        <v>226.47599100000002</v>
      </c>
      <c r="D243" s="8" t="s">
        <v>10</v>
      </c>
      <c r="E243" s="8" t="s">
        <v>1499</v>
      </c>
      <c r="F243" s="37"/>
      <c r="G243" s="38"/>
      <c r="H243" s="8" t="s">
        <v>1859</v>
      </c>
      <c r="I243" s="34">
        <f>SUM(K234:K238)</f>
        <v>4.6219590000000013</v>
      </c>
      <c r="J243" s="8" t="s">
        <v>10</v>
      </c>
      <c r="K243" s="8" t="s">
        <v>1555</v>
      </c>
      <c r="L243" s="37"/>
      <c r="M243" s="37"/>
      <c r="N243" s="12"/>
    </row>
    <row r="244" spans="1:14" ht="16" thickTop="1" x14ac:dyDescent="0.2">
      <c r="A244" s="12"/>
      <c r="B244" s="44" t="s">
        <v>1496</v>
      </c>
      <c r="C244" s="62">
        <f>SUM(E224:E238)</f>
        <v>580.64519015999997</v>
      </c>
      <c r="D244" s="44" t="s">
        <v>10</v>
      </c>
      <c r="E244" s="44" t="s">
        <v>1500</v>
      </c>
      <c r="F244" s="56"/>
      <c r="G244" s="57"/>
      <c r="H244" s="44" t="s">
        <v>1516</v>
      </c>
      <c r="I244" s="62">
        <f>SUM(K224:K238)</f>
        <v>7.4710418400000016</v>
      </c>
      <c r="J244" s="44" t="s">
        <v>10</v>
      </c>
      <c r="K244" s="44" t="s">
        <v>1556</v>
      </c>
      <c r="L244" s="56"/>
      <c r="M244" s="56"/>
      <c r="N244" s="12"/>
    </row>
    <row r="245" spans="1:14" x14ac:dyDescent="0.2">
      <c r="A245" s="12"/>
      <c r="B245" s="128" t="s">
        <v>2704</v>
      </c>
      <c r="C245" s="129" t="str">
        <f>IF(C244+I244=C212,"true")</f>
        <v>true</v>
      </c>
      <c r="D245" s="128"/>
      <c r="E245" s="128"/>
      <c r="F245" s="128"/>
      <c r="G245" s="128"/>
      <c r="H245" s="128"/>
      <c r="I245" s="129"/>
      <c r="J245" s="128"/>
      <c r="K245" s="128"/>
      <c r="L245" s="128"/>
      <c r="M245" s="128"/>
      <c r="N245" s="12"/>
    </row>
    <row r="246" spans="1:14" x14ac:dyDescent="0.2">
      <c r="A246" s="12"/>
      <c r="B246" s="13"/>
      <c r="C246" s="13"/>
      <c r="D246" s="12"/>
      <c r="E246" s="12"/>
      <c r="F246" s="12"/>
      <c r="G246" s="12"/>
      <c r="H246" s="12"/>
      <c r="I246" s="13"/>
      <c r="J246" s="12"/>
      <c r="K246" s="12"/>
      <c r="L246" s="12"/>
      <c r="M246" s="12"/>
      <c r="N246" s="12"/>
    </row>
    <row r="247" spans="1:14" x14ac:dyDescent="0.2">
      <c r="A247" s="12"/>
      <c r="B247" s="12"/>
      <c r="C247" s="12"/>
      <c r="D247" s="12"/>
      <c r="E247" s="12"/>
      <c r="F247" s="12"/>
      <c r="G247" s="12"/>
      <c r="H247" s="12"/>
      <c r="I247" s="12"/>
      <c r="J247" s="12"/>
      <c r="K247" s="12"/>
      <c r="L247" s="12"/>
      <c r="M247" s="12"/>
      <c r="N247" s="12"/>
    </row>
    <row r="248" spans="1:14" x14ac:dyDescent="0.2">
      <c r="A248" s="12"/>
      <c r="B248" s="12"/>
      <c r="C248" s="12"/>
      <c r="D248" s="12"/>
      <c r="E248" s="12"/>
      <c r="F248" s="12"/>
      <c r="G248" s="12"/>
      <c r="H248" s="12"/>
      <c r="I248" s="12"/>
      <c r="J248" s="12"/>
      <c r="K248" s="12"/>
      <c r="L248" s="12"/>
      <c r="M248" s="12"/>
      <c r="N248" s="12"/>
    </row>
    <row r="249" spans="1:14" ht="25" customHeight="1" x14ac:dyDescent="0.2">
      <c r="A249" s="12"/>
      <c r="B249" s="214" t="s">
        <v>215</v>
      </c>
      <c r="C249" s="214"/>
      <c r="D249" s="214"/>
      <c r="E249" s="214"/>
      <c r="F249" s="214"/>
      <c r="G249" s="214"/>
      <c r="H249" s="214"/>
      <c r="I249" s="214"/>
      <c r="J249" s="214"/>
      <c r="K249" s="214"/>
      <c r="L249" s="214"/>
      <c r="M249" s="214"/>
      <c r="N249" s="12"/>
    </row>
    <row r="250" spans="1:14" x14ac:dyDescent="0.2">
      <c r="A250" s="12"/>
      <c r="B250" s="114" t="str">
        <f t="shared" ref="B250:H250" si="29">B218</f>
        <v>Parameters</v>
      </c>
      <c r="C250" s="114" t="str">
        <f t="shared" si="29"/>
        <v>Value (average)</v>
      </c>
      <c r="D250" s="114" t="str">
        <f t="shared" si="29"/>
        <v>Min</v>
      </c>
      <c r="E250" s="114" t="str">
        <f t="shared" si="29"/>
        <v>Max</v>
      </c>
      <c r="F250" s="114" t="str">
        <f t="shared" si="29"/>
        <v>Unit</v>
      </c>
      <c r="G250" s="114" t="str">
        <f t="shared" si="29"/>
        <v>Description</v>
      </c>
      <c r="H250" s="114" t="str">
        <f t="shared" si="29"/>
        <v>Reference</v>
      </c>
      <c r="I250" s="115"/>
      <c r="J250" s="106"/>
      <c r="K250" s="106"/>
      <c r="L250" s="106"/>
      <c r="M250" s="106"/>
      <c r="N250" s="12"/>
    </row>
    <row r="251" spans="1:14" x14ac:dyDescent="0.2">
      <c r="A251" s="12"/>
      <c r="B251" s="106" t="str">
        <f>'info, structure, parameters'!A184</f>
        <v xml:space="preserve">TC_mixed_POLY_NEW </v>
      </c>
      <c r="C251" s="106">
        <f>'info, structure, parameters'!B184</f>
        <v>0.98</v>
      </c>
      <c r="D251" s="106">
        <f>'info, structure, parameters'!C184</f>
        <v>0</v>
      </c>
      <c r="E251" s="106">
        <f>'info, structure, parameters'!D184</f>
        <v>0.5</v>
      </c>
      <c r="F251" s="106">
        <f>'info, structure, parameters'!E184</f>
        <v>0.98</v>
      </c>
      <c r="G251" s="106" t="str">
        <f>'info, structure, parameters'!F184</f>
        <v>Transfer coefficient of PE that is transformed to new plastic during polymerization</v>
      </c>
      <c r="H251" s="106" t="str">
        <f>'info, structure, parameters'!G184</f>
        <v>5, 7</v>
      </c>
      <c r="I251" s="115"/>
      <c r="J251" s="106"/>
      <c r="K251" s="106"/>
      <c r="L251" s="106"/>
      <c r="M251" s="106"/>
      <c r="N251" s="12"/>
    </row>
    <row r="252" spans="1:14" ht="25" customHeight="1" x14ac:dyDescent="0.2">
      <c r="A252" s="12"/>
      <c r="B252" s="214" t="s">
        <v>213</v>
      </c>
      <c r="C252" s="214"/>
      <c r="D252" s="214"/>
      <c r="E252" s="214"/>
      <c r="F252" s="214"/>
      <c r="G252" s="214"/>
      <c r="H252" s="214"/>
      <c r="I252" s="214"/>
      <c r="J252" s="214"/>
      <c r="K252" s="214"/>
      <c r="L252" s="214"/>
      <c r="M252" s="214"/>
      <c r="N252" s="12"/>
    </row>
    <row r="253" spans="1:14" ht="25" customHeight="1" x14ac:dyDescent="0.2">
      <c r="A253" s="12"/>
      <c r="B253" s="214" t="s">
        <v>214</v>
      </c>
      <c r="C253" s="214"/>
      <c r="D253" s="214"/>
      <c r="E253" s="214"/>
      <c r="F253" s="214"/>
      <c r="G253" s="223"/>
      <c r="H253" s="214" t="s">
        <v>148</v>
      </c>
      <c r="I253" s="214"/>
      <c r="J253" s="214"/>
      <c r="K253" s="214"/>
      <c r="L253" s="214"/>
      <c r="M253" s="214"/>
      <c r="N253" s="12"/>
    </row>
    <row r="254" spans="1:14" x14ac:dyDescent="0.2">
      <c r="A254" s="12"/>
      <c r="B254" s="2" t="s">
        <v>21</v>
      </c>
      <c r="C254" s="3" t="s">
        <v>20</v>
      </c>
      <c r="D254" s="2" t="s">
        <v>99</v>
      </c>
      <c r="E254" s="2" t="s">
        <v>3</v>
      </c>
      <c r="F254" s="2" t="s">
        <v>4</v>
      </c>
      <c r="G254" s="4" t="s">
        <v>43</v>
      </c>
      <c r="H254" s="2" t="s">
        <v>21</v>
      </c>
      <c r="I254" s="3" t="s">
        <v>20</v>
      </c>
      <c r="J254" s="2" t="str">
        <f>D254</f>
        <v>Name</v>
      </c>
      <c r="K254" s="2" t="s">
        <v>3</v>
      </c>
      <c r="L254" s="2" t="s">
        <v>4</v>
      </c>
      <c r="M254" s="2" t="s">
        <v>43</v>
      </c>
      <c r="N254" s="12"/>
    </row>
    <row r="255" spans="1:14" x14ac:dyDescent="0.2">
      <c r="A255" s="12"/>
      <c r="B255" s="220" t="s">
        <v>14</v>
      </c>
      <c r="C255" s="6" t="str">
        <f t="shared" ref="C255:C269" si="30">C224</f>
        <v>PET</v>
      </c>
      <c r="D255" t="s">
        <v>1517</v>
      </c>
      <c r="E255" s="33">
        <f>E224</f>
        <v>182.77686</v>
      </c>
      <c r="F255" t="s">
        <v>10</v>
      </c>
      <c r="G255" s="32" t="str">
        <f>$B$251&amp;" * "&amp;D224</f>
        <v>TC_mixed_POLY_NEW  * bottle_PET_PUR_POLY_mass_pyrolysis</v>
      </c>
      <c r="H255" s="220" t="s">
        <v>14</v>
      </c>
      <c r="I255" s="6" t="str">
        <f>C255</f>
        <v>PET</v>
      </c>
      <c r="J255" t="s">
        <v>1533</v>
      </c>
      <c r="K255" s="33">
        <f t="shared" ref="K255:K269" si="31">E224-E255</f>
        <v>0</v>
      </c>
      <c r="L255" t="s">
        <v>10</v>
      </c>
      <c r="M255" t="str">
        <f t="shared" ref="M255:M269" si="32">D224&amp;" - "&amp;D255</f>
        <v>bottle_PET_PUR_POLY_mass_pyrolysis - bottle_PET_POLY_NEW_mass_pyrolysis</v>
      </c>
      <c r="N255" s="12"/>
    </row>
    <row r="256" spans="1:14" x14ac:dyDescent="0.2">
      <c r="A256" s="12"/>
      <c r="B256" s="220"/>
      <c r="C256" s="6" t="str">
        <f t="shared" si="30"/>
        <v>PE</v>
      </c>
      <c r="D256" t="s">
        <v>1518</v>
      </c>
      <c r="E256" s="33">
        <f>$C$251*E225</f>
        <v>43.503117789600005</v>
      </c>
      <c r="F256" t="s">
        <v>10</v>
      </c>
      <c r="G256" s="32" t="str">
        <f t="shared" ref="G256:G269" si="33">$B$251&amp;" * "&amp;D225</f>
        <v>TC_mixed_POLY_NEW  * bottle_PE_PUR_POLY_mass_pyrolysis</v>
      </c>
      <c r="H256" s="220"/>
      <c r="I256" s="6" t="str">
        <f t="shared" ref="I256:I269" si="34">C256</f>
        <v>PE</v>
      </c>
      <c r="J256" t="s">
        <v>1534</v>
      </c>
      <c r="K256" s="33">
        <f t="shared" si="31"/>
        <v>0.88781873039999937</v>
      </c>
      <c r="L256" t="s">
        <v>10</v>
      </c>
      <c r="M256" t="str">
        <f t="shared" si="32"/>
        <v>bottle_PE_PUR_POLY_mass_pyrolysis - bottle_PE_POLY_NEW_mass_pyrolysis</v>
      </c>
      <c r="N256" s="12"/>
    </row>
    <row r="257" spans="1:14" x14ac:dyDescent="0.2">
      <c r="A257" s="12"/>
      <c r="B257" s="220"/>
      <c r="C257" s="6" t="str">
        <f t="shared" si="30"/>
        <v>PP</v>
      </c>
      <c r="D257" t="s">
        <v>1519</v>
      </c>
      <c r="E257" s="33">
        <f t="shared" ref="E257:E269" si="35">$C$251*E226</f>
        <v>0</v>
      </c>
      <c r="F257" t="s">
        <v>10</v>
      </c>
      <c r="G257" s="32" t="str">
        <f t="shared" si="33"/>
        <v>TC_mixed_POLY_NEW  * bottle_PP_PUR_POLY_mass_pyrolysis</v>
      </c>
      <c r="H257" s="220"/>
      <c r="I257" s="6" t="str">
        <f t="shared" si="34"/>
        <v>PP</v>
      </c>
      <c r="J257" t="s">
        <v>1535</v>
      </c>
      <c r="K257" s="33">
        <f t="shared" si="31"/>
        <v>0</v>
      </c>
      <c r="L257" t="s">
        <v>10</v>
      </c>
      <c r="M257" t="str">
        <f t="shared" si="32"/>
        <v>bottle_PP_PUR_POLY_mass_pyrolysis - bottle_PP_POLY_NEW_mass_pyrolysis</v>
      </c>
      <c r="N257" s="12"/>
    </row>
    <row r="258" spans="1:14" x14ac:dyDescent="0.2">
      <c r="A258" s="12"/>
      <c r="B258" s="220"/>
      <c r="C258" s="6" t="str">
        <f t="shared" si="30"/>
        <v>PS</v>
      </c>
      <c r="D258" t="s">
        <v>1520</v>
      </c>
      <c r="E258" s="33">
        <f t="shared" si="35"/>
        <v>0</v>
      </c>
      <c r="F258" t="s">
        <v>10</v>
      </c>
      <c r="G258" s="32" t="str">
        <f t="shared" si="33"/>
        <v>TC_mixed_POLY_NEW  * bottle_PS_PUR_POLY_mass_pyrolysis</v>
      </c>
      <c r="H258" s="220"/>
      <c r="I258" s="6" t="str">
        <f t="shared" si="34"/>
        <v>PS</v>
      </c>
      <c r="J258" t="s">
        <v>1536</v>
      </c>
      <c r="K258" s="33">
        <f t="shared" si="31"/>
        <v>0</v>
      </c>
      <c r="L258" t="s">
        <v>10</v>
      </c>
      <c r="M258" t="str">
        <f t="shared" si="32"/>
        <v>bottle_PS_PUR_POLY_mass_pyrolysis - bottle_PS_POLY_NEW_mass_pyrolysis</v>
      </c>
      <c r="N258" s="12"/>
    </row>
    <row r="259" spans="1:14" x14ac:dyDescent="0.2">
      <c r="A259" s="12"/>
      <c r="B259" s="220"/>
      <c r="C259" s="6" t="str">
        <f t="shared" si="30"/>
        <v>Other</v>
      </c>
      <c r="D259" t="s">
        <v>1521</v>
      </c>
      <c r="E259" s="33">
        <f t="shared" si="35"/>
        <v>0</v>
      </c>
      <c r="F259" t="s">
        <v>10</v>
      </c>
      <c r="G259" s="32" t="str">
        <f t="shared" si="33"/>
        <v>TC_mixed_POLY_NEW  * bottle_Oth_PUR_POLY_mass_pyrolysis</v>
      </c>
      <c r="H259" s="220"/>
      <c r="I259" s="6" t="str">
        <f t="shared" si="34"/>
        <v>Other</v>
      </c>
      <c r="J259" t="s">
        <v>1537</v>
      </c>
      <c r="K259" s="33">
        <f t="shared" si="31"/>
        <v>0</v>
      </c>
      <c r="L259" t="s">
        <v>10</v>
      </c>
      <c r="M259" t="str">
        <f t="shared" si="32"/>
        <v>bottle_Oth_PUR_POLY_mass_pyrolysis - bottle_Oth_POLY_NEW_mass_pyrolysis</v>
      </c>
      <c r="N259" s="12"/>
    </row>
    <row r="260" spans="1:14" x14ac:dyDescent="0.2">
      <c r="A260" s="12"/>
      <c r="B260" s="220" t="s">
        <v>15</v>
      </c>
      <c r="C260" s="6" t="str">
        <f t="shared" si="30"/>
        <v>PET</v>
      </c>
      <c r="D260" t="s">
        <v>1522</v>
      </c>
      <c r="E260" s="33">
        <f>E229</f>
        <v>31.787279999999999</v>
      </c>
      <c r="F260" t="s">
        <v>10</v>
      </c>
      <c r="G260" s="32" t="str">
        <f t="shared" si="33"/>
        <v>TC_mixed_POLY_NEW  * rigid_PET_PUR_POLY_mass_pyrolysis</v>
      </c>
      <c r="H260" s="220" t="s">
        <v>15</v>
      </c>
      <c r="I260" s="6" t="str">
        <f t="shared" si="34"/>
        <v>PET</v>
      </c>
      <c r="J260" t="s">
        <v>1538</v>
      </c>
      <c r="K260" s="33">
        <f t="shared" si="31"/>
        <v>0</v>
      </c>
      <c r="L260" t="s">
        <v>10</v>
      </c>
      <c r="M260" t="str">
        <f t="shared" si="32"/>
        <v>rigid_PET_PUR_POLY_mass_pyrolysis - rigid_PET_POLY_NEW_mass_pyrolysis</v>
      </c>
      <c r="N260" s="12"/>
    </row>
    <row r="261" spans="1:14" x14ac:dyDescent="0.2">
      <c r="A261" s="12"/>
      <c r="B261" s="220"/>
      <c r="C261" s="6" t="str">
        <f t="shared" si="30"/>
        <v>PE</v>
      </c>
      <c r="D261" t="s">
        <v>1523</v>
      </c>
      <c r="E261" s="33">
        <f t="shared" si="35"/>
        <v>18.644193338400001</v>
      </c>
      <c r="F261" t="s">
        <v>10</v>
      </c>
      <c r="G261" s="32" t="str">
        <f t="shared" si="33"/>
        <v>TC_mixed_POLY_NEW  * rigid_PE_PUR_POLY_mass_pyrolysis</v>
      </c>
      <c r="H261" s="220"/>
      <c r="I261" s="6" t="str">
        <f t="shared" si="34"/>
        <v>PE</v>
      </c>
      <c r="J261" t="s">
        <v>1539</v>
      </c>
      <c r="K261" s="33">
        <f t="shared" si="31"/>
        <v>0.38049374159999871</v>
      </c>
      <c r="L261" t="s">
        <v>10</v>
      </c>
      <c r="M261" t="str">
        <f t="shared" si="32"/>
        <v>rigid_PE_PUR_POLY_mass_pyrolysis - rigid_PE_POLY_NEW_mass_pyrolysis</v>
      </c>
      <c r="N261" s="12"/>
    </row>
    <row r="262" spans="1:14" x14ac:dyDescent="0.2">
      <c r="A262" s="12"/>
      <c r="B262" s="220"/>
      <c r="C262" s="6" t="str">
        <f t="shared" si="30"/>
        <v>PP</v>
      </c>
      <c r="D262" t="s">
        <v>1524</v>
      </c>
      <c r="E262" s="33">
        <f t="shared" si="35"/>
        <v>41.816353823999997</v>
      </c>
      <c r="F262" t="s">
        <v>10</v>
      </c>
      <c r="G262" s="32" t="str">
        <f t="shared" si="33"/>
        <v>TC_mixed_POLY_NEW  * rigid_PP_PUR_POLY_mass_pyrolysis</v>
      </c>
      <c r="H262" s="220"/>
      <c r="I262" s="6" t="str">
        <f t="shared" si="34"/>
        <v>PP</v>
      </c>
      <c r="J262" t="s">
        <v>1540</v>
      </c>
      <c r="K262" s="33">
        <f t="shared" si="31"/>
        <v>0.85339497600000414</v>
      </c>
      <c r="L262" t="s">
        <v>10</v>
      </c>
      <c r="M262" t="str">
        <f t="shared" si="32"/>
        <v>rigid_PP_PUR_POLY_mass_pyrolysis - rigid_PP_POLY_NEW_mass_pyrolysis</v>
      </c>
      <c r="N262" s="12"/>
    </row>
    <row r="263" spans="1:14" x14ac:dyDescent="0.2">
      <c r="A263" s="12"/>
      <c r="B263" s="220"/>
      <c r="C263" s="6" t="str">
        <f t="shared" si="30"/>
        <v>PS</v>
      </c>
      <c r="D263" t="s">
        <v>1525</v>
      </c>
      <c r="E263" s="33">
        <f t="shared" si="35"/>
        <v>5.4748821707999999</v>
      </c>
      <c r="F263" t="s">
        <v>10</v>
      </c>
      <c r="G263" s="32" t="str">
        <f t="shared" si="33"/>
        <v>TC_mixed_POLY_NEW  * rigid_PS_PUR_POLY_mass_pyrolysis</v>
      </c>
      <c r="H263" s="220"/>
      <c r="I263" s="6" t="str">
        <f t="shared" si="34"/>
        <v>PS</v>
      </c>
      <c r="J263" t="s">
        <v>1541</v>
      </c>
      <c r="K263" s="33">
        <f t="shared" si="31"/>
        <v>0.11173228919999989</v>
      </c>
      <c r="L263" t="s">
        <v>10</v>
      </c>
      <c r="M263" t="str">
        <f t="shared" si="32"/>
        <v>rigid_PS_PUR_POLY_mass_pyrolysis - rigid_PS_POLY_NEW_mass_pyrolysis</v>
      </c>
      <c r="N263" s="12"/>
    </row>
    <row r="264" spans="1:14" x14ac:dyDescent="0.2">
      <c r="A264" s="12"/>
      <c r="B264" s="220"/>
      <c r="C264" s="6" t="str">
        <f t="shared" si="30"/>
        <v>Other</v>
      </c>
      <c r="D264" t="s">
        <v>1526</v>
      </c>
      <c r="E264" s="33">
        <f t="shared" si="35"/>
        <v>27.37441085399999</v>
      </c>
      <c r="F264" t="s">
        <v>10</v>
      </c>
      <c r="G264" s="32" t="str">
        <f t="shared" si="33"/>
        <v>TC_mixed_POLY_NEW  * rigid_Oth_PUR_POLY_mass_pyrolysis</v>
      </c>
      <c r="H264" s="220"/>
      <c r="I264" s="6" t="str">
        <f t="shared" si="34"/>
        <v>Other</v>
      </c>
      <c r="J264" t="s">
        <v>1542</v>
      </c>
      <c r="K264" s="33">
        <f t="shared" si="31"/>
        <v>0.55866144599999856</v>
      </c>
      <c r="L264" t="s">
        <v>10</v>
      </c>
      <c r="M264" t="str">
        <f t="shared" si="32"/>
        <v>rigid_Oth_PUR_POLY_mass_pyrolysis - rigid_Oth_POLY_NEW_mass_pyrolysis</v>
      </c>
      <c r="N264" s="12"/>
    </row>
    <row r="265" spans="1:14" x14ac:dyDescent="0.2">
      <c r="A265" s="12"/>
      <c r="B265" s="220" t="s">
        <v>42</v>
      </c>
      <c r="C265" s="6" t="str">
        <f t="shared" si="30"/>
        <v>PET</v>
      </c>
      <c r="D265" t="s">
        <v>1527</v>
      </c>
      <c r="E265" s="33">
        <f>E234</f>
        <v>0</v>
      </c>
      <c r="F265" t="s">
        <v>10</v>
      </c>
      <c r="G265" s="32" t="str">
        <f t="shared" si="33"/>
        <v>TC_mixed_POLY_NEW  * soft_PET_PUR_POLY_mass_pyrolysis</v>
      </c>
      <c r="H265" s="220" t="s">
        <v>42</v>
      </c>
      <c r="I265" s="6" t="str">
        <f t="shared" si="34"/>
        <v>PET</v>
      </c>
      <c r="J265" t="s">
        <v>1543</v>
      </c>
      <c r="K265" s="33">
        <f t="shared" si="31"/>
        <v>0</v>
      </c>
      <c r="L265" t="s">
        <v>10</v>
      </c>
      <c r="M265" t="str">
        <f t="shared" si="32"/>
        <v>soft_PET_PUR_POLY_mass_pyrolysis - soft_PET_POLY_NEW_mass_pyrolysis</v>
      </c>
      <c r="N265" s="12"/>
    </row>
    <row r="266" spans="1:14" x14ac:dyDescent="0.2">
      <c r="A266" s="12"/>
      <c r="B266" s="220"/>
      <c r="C266" s="6" t="str">
        <f t="shared" si="30"/>
        <v>PE</v>
      </c>
      <c r="D266" t="s">
        <v>1528</v>
      </c>
      <c r="E266" s="33">
        <f t="shared" si="35"/>
        <v>167.19764947199999</v>
      </c>
      <c r="F266" t="s">
        <v>10</v>
      </c>
      <c r="G266" s="32" t="str">
        <f t="shared" si="33"/>
        <v>TC_mixed_POLY_NEW  * soft_PE_PUR_POLY_mass_pyrolysis</v>
      </c>
      <c r="H266" s="220"/>
      <c r="I266" s="6" t="str">
        <f t="shared" si="34"/>
        <v>PE</v>
      </c>
      <c r="J266" t="s">
        <v>1544</v>
      </c>
      <c r="K266" s="33">
        <f t="shared" si="31"/>
        <v>3.4121969280000144</v>
      </c>
      <c r="L266" t="s">
        <v>10</v>
      </c>
      <c r="M266" t="str">
        <f t="shared" si="32"/>
        <v>soft_PE_PUR_POLY_mass_pyrolysis - soft_PE_POLY_NEW_mass_pyrolysis</v>
      </c>
      <c r="N266" s="12"/>
    </row>
    <row r="267" spans="1:14" x14ac:dyDescent="0.2">
      <c r="A267" s="12"/>
      <c r="B267" s="220"/>
      <c r="C267" s="6" t="str">
        <f t="shared" si="30"/>
        <v>PP</v>
      </c>
      <c r="D267" t="s">
        <v>1529</v>
      </c>
      <c r="E267" s="33">
        <f t="shared" si="35"/>
        <v>0</v>
      </c>
      <c r="F267" t="s">
        <v>10</v>
      </c>
      <c r="G267" s="32" t="str">
        <f t="shared" si="33"/>
        <v>TC_mixed_POLY_NEW  * soft_PP_PUR_POLY_mass_pyrolysis</v>
      </c>
      <c r="H267" s="220"/>
      <c r="I267" s="6" t="str">
        <f t="shared" si="34"/>
        <v>PP</v>
      </c>
      <c r="J267" t="s">
        <v>1545</v>
      </c>
      <c r="K267" s="33">
        <f t="shared" si="31"/>
        <v>0</v>
      </c>
      <c r="L267" t="s">
        <v>10</v>
      </c>
      <c r="M267" t="str">
        <f t="shared" si="32"/>
        <v>soft_PP_PUR_POLY_mass_pyrolysis - soft_PP_POLY_NEW_mass_pyrolysis</v>
      </c>
      <c r="N267" s="12"/>
    </row>
    <row r="268" spans="1:14" x14ac:dyDescent="0.2">
      <c r="A268" s="12"/>
      <c r="B268" s="220"/>
      <c r="C268" s="6" t="str">
        <f t="shared" si="30"/>
        <v>PS</v>
      </c>
      <c r="D268" t="s">
        <v>1530</v>
      </c>
      <c r="E268" s="33">
        <f t="shared" si="35"/>
        <v>0</v>
      </c>
      <c r="F268" t="s">
        <v>10</v>
      </c>
      <c r="G268" s="32" t="str">
        <f t="shared" si="33"/>
        <v>TC_mixed_POLY_NEW  * soft_PS_PUR_POLY_mass_pyrolysis</v>
      </c>
      <c r="H268" s="220"/>
      <c r="I268" s="6" t="str">
        <f t="shared" si="34"/>
        <v>PS</v>
      </c>
      <c r="J268" t="s">
        <v>1546</v>
      </c>
      <c r="K268" s="33">
        <f t="shared" si="31"/>
        <v>0</v>
      </c>
      <c r="L268" t="s">
        <v>10</v>
      </c>
      <c r="M268" t="str">
        <f t="shared" si="32"/>
        <v>soft_PS_PUR_POLY_mass_pyrolysis - soft_PS_POLY_NEW_mass_pyrolysis</v>
      </c>
      <c r="N268" s="12"/>
    </row>
    <row r="269" spans="1:14" x14ac:dyDescent="0.2">
      <c r="A269" s="12"/>
      <c r="B269" s="227"/>
      <c r="C269" s="60" t="str">
        <f t="shared" si="30"/>
        <v>Other</v>
      </c>
      <c r="D269" s="44" t="s">
        <v>1531</v>
      </c>
      <c r="E269" s="33">
        <f t="shared" si="35"/>
        <v>54.748821708000015</v>
      </c>
      <c r="F269" s="44" t="s">
        <v>10</v>
      </c>
      <c r="G269" s="61" t="str">
        <f t="shared" si="33"/>
        <v>TC_mixed_POLY_NEW  * soft_Oth_PUR_POLY_mass_pyrolysis</v>
      </c>
      <c r="H269" s="220"/>
      <c r="I269" s="6" t="str">
        <f t="shared" si="34"/>
        <v>Other</v>
      </c>
      <c r="J269" t="s">
        <v>1547</v>
      </c>
      <c r="K269" s="33">
        <f t="shared" si="31"/>
        <v>1.1173228920000042</v>
      </c>
      <c r="L269" t="s">
        <v>10</v>
      </c>
      <c r="M269" t="str">
        <f t="shared" si="32"/>
        <v>soft_Oth_PUR_POLY_mass_pyrolysis - soft_Oth_POLY_NEW_mass_pyrolysis</v>
      </c>
      <c r="N269" s="12"/>
    </row>
    <row r="270" spans="1:14" ht="25" customHeight="1" x14ac:dyDescent="0.2">
      <c r="A270" s="12"/>
      <c r="B270" s="214" t="s">
        <v>45</v>
      </c>
      <c r="C270" s="214"/>
      <c r="D270" s="214"/>
      <c r="E270" s="214"/>
      <c r="F270" s="214"/>
      <c r="G270" s="214"/>
      <c r="H270" s="214"/>
      <c r="I270" s="214"/>
      <c r="J270" s="214"/>
      <c r="K270" s="214"/>
      <c r="L270" s="214"/>
      <c r="M270" s="214"/>
      <c r="N270" s="12"/>
    </row>
    <row r="271" spans="1:14" x14ac:dyDescent="0.2">
      <c r="A271" s="12"/>
      <c r="B271" s="53" t="s">
        <v>46</v>
      </c>
      <c r="C271" s="10" t="s">
        <v>3</v>
      </c>
      <c r="D271" s="10" t="s">
        <v>4</v>
      </c>
      <c r="E271" s="53" t="s">
        <v>7</v>
      </c>
      <c r="F271" s="10"/>
      <c r="G271" s="40"/>
      <c r="H271" s="53" t="s">
        <v>49</v>
      </c>
      <c r="I271" s="53" t="s">
        <v>3</v>
      </c>
      <c r="J271" s="53" t="s">
        <v>4</v>
      </c>
      <c r="K271" s="53" t="s">
        <v>7</v>
      </c>
      <c r="L271" s="10"/>
      <c r="M271" s="10"/>
      <c r="N271" s="12"/>
    </row>
    <row r="272" spans="1:14" x14ac:dyDescent="0.2">
      <c r="A272" s="12"/>
      <c r="B272" t="s">
        <v>1863</v>
      </c>
      <c r="C272" s="33">
        <f>SUM(E255:E259)</f>
        <v>226.2799777896</v>
      </c>
      <c r="D272" t="s">
        <v>10</v>
      </c>
      <c r="E272" t="s">
        <v>1549</v>
      </c>
      <c r="F272" s="2"/>
      <c r="G272" s="4"/>
      <c r="H272" t="s">
        <v>1866</v>
      </c>
      <c r="I272" s="33">
        <f>SUM(K255:K259)</f>
        <v>0.88781873039999937</v>
      </c>
      <c r="J272" t="s">
        <v>10</v>
      </c>
      <c r="K272" t="s">
        <v>1557</v>
      </c>
      <c r="L272" s="2"/>
      <c r="M272" s="2"/>
      <c r="N272" s="12"/>
    </row>
    <row r="273" spans="1:41" x14ac:dyDescent="0.2">
      <c r="A273" s="12"/>
      <c r="B273" t="s">
        <v>1864</v>
      </c>
      <c r="C273" s="33">
        <f>SUM(E260:E264)</f>
        <v>125.09712018719999</v>
      </c>
      <c r="D273" t="s">
        <v>10</v>
      </c>
      <c r="E273" t="s">
        <v>1550</v>
      </c>
      <c r="F273" s="2"/>
      <c r="G273" s="4"/>
      <c r="H273" t="s">
        <v>1867</v>
      </c>
      <c r="I273" s="33">
        <f>SUM(K260:K264)</f>
        <v>1.9042824528000013</v>
      </c>
      <c r="J273" t="s">
        <v>10</v>
      </c>
      <c r="K273" t="s">
        <v>1558</v>
      </c>
      <c r="L273" s="2"/>
      <c r="M273" s="2"/>
      <c r="N273" s="12"/>
    </row>
    <row r="274" spans="1:41" ht="16" thickBot="1" x14ac:dyDescent="0.25">
      <c r="A274" s="12"/>
      <c r="B274" s="8" t="s">
        <v>1865</v>
      </c>
      <c r="C274" s="34">
        <f>SUM(E265:E269)</f>
        <v>221.94647118</v>
      </c>
      <c r="D274" s="8" t="s">
        <v>10</v>
      </c>
      <c r="E274" s="8" t="s">
        <v>1551</v>
      </c>
      <c r="F274" s="37"/>
      <c r="G274" s="38"/>
      <c r="H274" s="8" t="s">
        <v>1868</v>
      </c>
      <c r="I274" s="34">
        <f>SUM(K265:K269)</f>
        <v>4.5295198200000186</v>
      </c>
      <c r="J274" s="8" t="s">
        <v>10</v>
      </c>
      <c r="K274" s="8" t="s">
        <v>1559</v>
      </c>
      <c r="L274" s="37"/>
      <c r="M274" s="37"/>
      <c r="N274" s="12"/>
    </row>
    <row r="275" spans="1:41" ht="16" thickTop="1" x14ac:dyDescent="0.2">
      <c r="A275" s="12"/>
      <c r="B275" s="44" t="s">
        <v>1532</v>
      </c>
      <c r="C275" s="62">
        <f>SUM(C272:C274)</f>
        <v>573.32356915679998</v>
      </c>
      <c r="D275" s="44" t="s">
        <v>10</v>
      </c>
      <c r="E275" s="44" t="s">
        <v>1552</v>
      </c>
      <c r="F275" s="56"/>
      <c r="G275" s="57"/>
      <c r="H275" s="44" t="s">
        <v>1548</v>
      </c>
      <c r="I275" s="62">
        <f>SUM(I272:I274)</f>
        <v>7.3216210032000193</v>
      </c>
      <c r="J275" s="44" t="s">
        <v>10</v>
      </c>
      <c r="K275" s="44" t="s">
        <v>1560</v>
      </c>
      <c r="L275" s="56"/>
      <c r="M275" s="56"/>
      <c r="N275" s="12"/>
    </row>
    <row r="276" spans="1:41" x14ac:dyDescent="0.2">
      <c r="A276" s="12"/>
      <c r="B276" s="125" t="s">
        <v>2704</v>
      </c>
      <c r="C276" s="125" t="str">
        <f>IF(C275+I275=C244,"true")</f>
        <v>true</v>
      </c>
      <c r="D276" s="125"/>
      <c r="E276" s="125"/>
      <c r="F276" s="125"/>
      <c r="G276" s="125"/>
      <c r="H276" s="125"/>
      <c r="I276" s="125"/>
      <c r="J276" s="125"/>
      <c r="K276" s="125"/>
      <c r="L276" s="125"/>
      <c r="M276" s="125"/>
      <c r="N276" s="12"/>
    </row>
    <row r="277" spans="1:41" x14ac:dyDescent="0.2">
      <c r="A277" s="12"/>
      <c r="B277" s="11"/>
      <c r="C277" s="11"/>
      <c r="D277" s="11"/>
      <c r="E277" s="11"/>
      <c r="F277" s="11"/>
      <c r="G277" s="11"/>
      <c r="H277" s="11"/>
      <c r="I277" s="11"/>
      <c r="J277" s="11"/>
      <c r="K277" s="11"/>
      <c r="L277" s="11"/>
      <c r="M277" s="11"/>
      <c r="N277" s="12"/>
    </row>
    <row r="278" spans="1:41" x14ac:dyDescent="0.2">
      <c r="A278" s="12"/>
      <c r="B278" s="11"/>
      <c r="C278" s="11"/>
      <c r="D278" s="11"/>
      <c r="E278" s="11"/>
      <c r="F278" s="11"/>
      <c r="G278" s="11"/>
      <c r="H278" s="11"/>
      <c r="I278" s="11"/>
      <c r="J278" s="11"/>
      <c r="K278" s="11"/>
      <c r="L278" s="11"/>
      <c r="M278" s="11"/>
      <c r="N278" s="12"/>
    </row>
    <row r="279" spans="1:41" x14ac:dyDescent="0.2">
      <c r="A279" s="12"/>
      <c r="B279" s="12"/>
      <c r="C279" s="12"/>
      <c r="D279" s="12"/>
      <c r="E279" s="12"/>
      <c r="F279" s="12"/>
      <c r="G279" s="12"/>
      <c r="H279" s="12"/>
      <c r="I279" s="12"/>
      <c r="J279" s="12"/>
      <c r="K279" s="12"/>
      <c r="L279" s="12"/>
      <c r="M279" s="12"/>
      <c r="N279" s="12"/>
      <c r="AD279" s="2"/>
      <c r="AE279" s="2"/>
      <c r="AF279" s="2"/>
      <c r="AG279" s="2"/>
      <c r="AH279" s="2"/>
      <c r="AI279" s="2"/>
      <c r="AJ279" s="2"/>
      <c r="AK279" s="2"/>
      <c r="AL279" s="2"/>
      <c r="AM279" s="2"/>
      <c r="AN279" s="2"/>
      <c r="AO279" s="2"/>
    </row>
    <row r="280" spans="1:41" ht="25" customHeight="1" x14ac:dyDescent="0.2">
      <c r="A280" s="12"/>
      <c r="B280" s="214" t="s">
        <v>117</v>
      </c>
      <c r="C280" s="214"/>
      <c r="D280" s="214"/>
      <c r="E280" s="214"/>
      <c r="F280" s="214"/>
      <c r="G280" s="214"/>
      <c r="H280" s="214"/>
      <c r="I280" s="214"/>
      <c r="J280" s="214"/>
      <c r="K280" s="214"/>
      <c r="L280" s="214"/>
      <c r="M280" s="214"/>
      <c r="N280" s="12"/>
      <c r="AD280" s="2"/>
      <c r="AE280" s="2"/>
      <c r="AF280" s="2"/>
      <c r="AG280" s="2"/>
      <c r="AH280" s="2"/>
      <c r="AI280" s="2"/>
      <c r="AJ280" s="2"/>
      <c r="AK280" s="2"/>
      <c r="AL280" s="2"/>
      <c r="AM280" s="2"/>
      <c r="AN280" s="2"/>
      <c r="AO280" s="2"/>
    </row>
    <row r="281" spans="1:41" x14ac:dyDescent="0.2">
      <c r="A281" s="12"/>
      <c r="B281" s="114" t="s">
        <v>2</v>
      </c>
      <c r="C281" s="114" t="s">
        <v>144</v>
      </c>
      <c r="D281" s="114" t="s">
        <v>5</v>
      </c>
      <c r="E281" s="114" t="s">
        <v>6</v>
      </c>
      <c r="F281" s="114" t="s">
        <v>4</v>
      </c>
      <c r="G281" s="114" t="s">
        <v>7</v>
      </c>
      <c r="H281" s="114" t="s">
        <v>112</v>
      </c>
      <c r="I281" s="114"/>
      <c r="J281" s="114"/>
      <c r="K281" s="114"/>
      <c r="L281" s="114"/>
      <c r="M281" s="114"/>
      <c r="N281" s="12"/>
      <c r="AD281" s="66"/>
      <c r="AE281" s="6"/>
      <c r="AG281" s="33"/>
      <c r="AJ281" s="66"/>
      <c r="AK281" s="6"/>
    </row>
    <row r="282" spans="1:41" x14ac:dyDescent="0.2">
      <c r="A282" s="12"/>
      <c r="B282" s="106" t="str">
        <f>'info, structure, parameters'!A194</f>
        <v>ash_bottle_mass</v>
      </c>
      <c r="C282" s="106">
        <f>'info, structure, parameters'!B194</f>
        <v>5.4594999999999998E-2</v>
      </c>
      <c r="D282" s="106" t="str">
        <f>'info, structure, parameters'!C194</f>
        <v>kg ww</v>
      </c>
      <c r="E282" s="106">
        <f>'info, structure, parameters'!D194</f>
        <v>5.4594999999999998E-2</v>
      </c>
      <c r="F282" s="106">
        <f>'info, structure, parameters'!E194</f>
        <v>5.4594999999999998E-2</v>
      </c>
      <c r="G282" s="106" t="str">
        <f>'info, structure, parameters'!F194</f>
        <v>The residue content of 1 kg of plastic bottles</v>
      </c>
      <c r="H282" s="106">
        <f>'info, structure, parameters'!G194</f>
        <v>3</v>
      </c>
      <c r="I282" s="106"/>
      <c r="J282" s="106"/>
      <c r="K282" s="106"/>
      <c r="L282" s="106"/>
      <c r="M282" s="106"/>
      <c r="N282" s="12"/>
      <c r="AD282" s="66"/>
      <c r="AE282" s="6"/>
      <c r="AG282" s="33"/>
      <c r="AJ282" s="66"/>
      <c r="AK282" s="6"/>
    </row>
    <row r="283" spans="1:41" x14ac:dyDescent="0.2">
      <c r="A283" s="12"/>
      <c r="B283" s="106" t="str">
        <f>'info, structure, parameters'!A195</f>
        <v>ash_rigid_mass</v>
      </c>
      <c r="C283" s="106">
        <f>'info, structure, parameters'!B195</f>
        <v>2.1295999999999999E-2</v>
      </c>
      <c r="D283" s="106" t="str">
        <f>'info, structure, parameters'!C195</f>
        <v>kg ww</v>
      </c>
      <c r="E283" s="106">
        <f>'info, structure, parameters'!D195</f>
        <v>2.1295999999999999E-2</v>
      </c>
      <c r="F283" s="106">
        <f>'info, structure, parameters'!E195</f>
        <v>2.1295999999999999E-2</v>
      </c>
      <c r="G283" s="106" t="str">
        <f>'info, structure, parameters'!F195</f>
        <v>The residue content of 1 kg of rigid plastic</v>
      </c>
      <c r="H283" s="106">
        <f>'info, structure, parameters'!G195</f>
        <v>3</v>
      </c>
      <c r="I283" s="106"/>
      <c r="J283" s="106"/>
      <c r="K283" s="106"/>
      <c r="L283" s="106"/>
      <c r="M283" s="106"/>
      <c r="N283" s="12"/>
      <c r="AD283" s="66"/>
      <c r="AE283" s="6"/>
      <c r="AG283" s="33"/>
      <c r="AJ283" s="66"/>
      <c r="AK283" s="6"/>
    </row>
    <row r="284" spans="1:41" x14ac:dyDescent="0.2">
      <c r="A284" s="12"/>
      <c r="B284" s="106" t="str">
        <f>'info, structure, parameters'!A196</f>
        <v>ash_soft_mass</v>
      </c>
      <c r="C284" s="106">
        <f>'info, structure, parameters'!B196</f>
        <v>3.7791600000000002E-2</v>
      </c>
      <c r="D284" s="106" t="str">
        <f>'info, structure, parameters'!C196</f>
        <v>kg ww</v>
      </c>
      <c r="E284" s="106">
        <f>'info, structure, parameters'!D196</f>
        <v>3.7791600000000002E-2</v>
      </c>
      <c r="F284" s="106">
        <f>'info, structure, parameters'!E196</f>
        <v>3.7791600000000002E-2</v>
      </c>
      <c r="G284" s="106" t="str">
        <f>'info, structure, parameters'!F196</f>
        <v>The residue content of 1 kg of soft plastic</v>
      </c>
      <c r="H284" s="106">
        <f>'info, structure, parameters'!G196</f>
        <v>3</v>
      </c>
      <c r="I284" s="106"/>
      <c r="J284" s="106"/>
      <c r="K284" s="106"/>
      <c r="L284" s="106"/>
      <c r="M284" s="106"/>
      <c r="N284" s="12"/>
      <c r="AD284" s="66"/>
      <c r="AE284" s="6"/>
      <c r="AG284" s="33"/>
      <c r="AJ284" s="66"/>
      <c r="AK284" s="6"/>
    </row>
    <row r="285" spans="1:41" x14ac:dyDescent="0.2">
      <c r="A285" s="12"/>
      <c r="B285" s="106" t="str">
        <f>'info, structure, parameters'!A197</f>
        <v>ash_nonrec_mass</v>
      </c>
      <c r="C285" s="106">
        <f>'info, structure, parameters'!B197</f>
        <v>5.1095000000000002E-2</v>
      </c>
      <c r="D285" s="106" t="str">
        <f>'info, structure, parameters'!C197</f>
        <v>kg ww</v>
      </c>
      <c r="E285" s="106">
        <f>'info, structure, parameters'!D197</f>
        <v>5.1095000000000002E-2</v>
      </c>
      <c r="F285" s="106">
        <f>'info, structure, parameters'!E197</f>
        <v>5.1095000000000002E-2</v>
      </c>
      <c r="G285" s="106" t="str">
        <f>'info, structure, parameters'!F197</f>
        <v>The residue content of 1 kg of nonrec plastic</v>
      </c>
      <c r="H285" s="106">
        <f>'info, structure, parameters'!G197</f>
        <v>3</v>
      </c>
      <c r="I285" s="106"/>
      <c r="J285" s="106"/>
      <c r="K285" s="106"/>
      <c r="L285" s="106"/>
      <c r="M285" s="106"/>
      <c r="N285" s="12"/>
      <c r="AD285" s="66"/>
      <c r="AE285" s="6"/>
      <c r="AG285" s="33"/>
      <c r="AJ285" s="66"/>
      <c r="AK285" s="6"/>
    </row>
    <row r="286" spans="1:41" x14ac:dyDescent="0.2">
      <c r="A286" s="12"/>
      <c r="B286" s="106" t="str">
        <f>'info, structure, parameters'!A198</f>
        <v>air_bottle_mass</v>
      </c>
      <c r="C286" s="106">
        <f>'info, structure, parameters'!B198</f>
        <v>0.94540499999999994</v>
      </c>
      <c r="D286" s="106" t="str">
        <f>'info, structure, parameters'!C198</f>
        <v>kg ww</v>
      </c>
      <c r="E286" s="106">
        <f>'info, structure, parameters'!D198</f>
        <v>0.94540499999999994</v>
      </c>
      <c r="F286" s="106">
        <f>'info, structure, parameters'!E198</f>
        <v>0.94540499999999994</v>
      </c>
      <c r="G286" s="106" t="str">
        <f>'info, structure, parameters'!F198</f>
        <v>The water and volatile solid content of 1 kg of bottle plastic</v>
      </c>
      <c r="H286" s="106">
        <f>'info, structure, parameters'!G198</f>
        <v>3</v>
      </c>
      <c r="I286" s="106"/>
      <c r="J286" s="106"/>
      <c r="K286" s="106"/>
      <c r="L286" s="106"/>
      <c r="M286" s="106"/>
      <c r="N286" s="12"/>
      <c r="AD286" s="66"/>
      <c r="AE286" s="6"/>
      <c r="AG286" s="33"/>
      <c r="AJ286" s="66"/>
      <c r="AK286" s="6"/>
    </row>
    <row r="287" spans="1:41" x14ac:dyDescent="0.2">
      <c r="A287" s="12"/>
      <c r="B287" s="106" t="str">
        <f>'info, structure, parameters'!A199</f>
        <v>air_rigid_mass</v>
      </c>
      <c r="C287" s="106">
        <f>'info, structure, parameters'!B199</f>
        <v>0.97870400000000002</v>
      </c>
      <c r="D287" s="106" t="str">
        <f>'info, structure, parameters'!C199</f>
        <v>kg ww</v>
      </c>
      <c r="E287" s="106">
        <f>'info, structure, parameters'!D199</f>
        <v>0.97870400000000002</v>
      </c>
      <c r="F287" s="106">
        <f>'info, structure, parameters'!E199</f>
        <v>0.97870400000000002</v>
      </c>
      <c r="G287" s="106" t="str">
        <f>'info, structure, parameters'!F199</f>
        <v>The water and volatile solid content of 1 kg of rigid plastic</v>
      </c>
      <c r="H287" s="106">
        <f>'info, structure, parameters'!G199</f>
        <v>3</v>
      </c>
      <c r="I287" s="106"/>
      <c r="J287" s="106"/>
      <c r="K287" s="106"/>
      <c r="L287" s="106"/>
      <c r="M287" s="106"/>
      <c r="N287" s="12"/>
      <c r="AD287" s="66"/>
      <c r="AE287" s="6"/>
      <c r="AG287" s="33"/>
      <c r="AJ287" s="66"/>
      <c r="AK287" s="6"/>
    </row>
    <row r="288" spans="1:41" x14ac:dyDescent="0.2">
      <c r="A288" s="12"/>
      <c r="B288" s="106" t="str">
        <f>'info, structure, parameters'!A200</f>
        <v>air_soft_mass</v>
      </c>
      <c r="C288" s="106">
        <f>'info, structure, parameters'!B200</f>
        <v>0.96220839999999996</v>
      </c>
      <c r="D288" s="106" t="str">
        <f>'info, structure, parameters'!C200</f>
        <v>kg ww</v>
      </c>
      <c r="E288" s="106">
        <f>'info, structure, parameters'!D200</f>
        <v>0.96220839999999996</v>
      </c>
      <c r="F288" s="106">
        <f>'info, structure, parameters'!E200</f>
        <v>0.96220839999999996</v>
      </c>
      <c r="G288" s="106" t="str">
        <f>'info, structure, parameters'!F200</f>
        <v>The water and volatile solid content of 1 kg of soft plastic</v>
      </c>
      <c r="H288" s="106">
        <f>'info, structure, parameters'!G200</f>
        <v>3</v>
      </c>
      <c r="I288" s="106"/>
      <c r="J288" s="106"/>
      <c r="K288" s="106"/>
      <c r="L288" s="106"/>
      <c r="M288" s="106"/>
      <c r="N288" s="12"/>
      <c r="AD288" s="66"/>
      <c r="AE288" s="6"/>
      <c r="AG288" s="33"/>
      <c r="AJ288" s="66"/>
      <c r="AK288" s="6"/>
    </row>
    <row r="289" spans="1:41" x14ac:dyDescent="0.2">
      <c r="A289" s="12"/>
      <c r="B289" s="106" t="str">
        <f>'info, structure, parameters'!A201</f>
        <v>air_nonrec_mass</v>
      </c>
      <c r="C289" s="106">
        <f>'info, structure, parameters'!B201</f>
        <v>0.94890499999999989</v>
      </c>
      <c r="D289" s="106" t="str">
        <f>'info, structure, parameters'!C201</f>
        <v>kg ww</v>
      </c>
      <c r="E289" s="106">
        <f>'info, structure, parameters'!D201</f>
        <v>0.94890499999999989</v>
      </c>
      <c r="F289" s="106">
        <f>'info, structure, parameters'!E201</f>
        <v>0.94890499999999989</v>
      </c>
      <c r="G289" s="106" t="str">
        <f>'info, structure, parameters'!F201</f>
        <v>The water and volatile solid content of 1 kg of nonrec plastic</v>
      </c>
      <c r="H289" s="106">
        <f>'info, structure, parameters'!G201</f>
        <v>3</v>
      </c>
      <c r="I289" s="106"/>
      <c r="J289" s="106"/>
      <c r="K289" s="106"/>
      <c r="L289" s="106"/>
      <c r="M289" s="106"/>
      <c r="N289" s="12"/>
      <c r="AD289" s="66"/>
      <c r="AE289" s="6"/>
      <c r="AG289" s="33"/>
      <c r="AJ289" s="66"/>
      <c r="AK289" s="6"/>
    </row>
    <row r="290" spans="1:41" ht="25" customHeight="1" x14ac:dyDescent="0.2">
      <c r="A290" s="12"/>
      <c r="B290" s="214" t="s">
        <v>135</v>
      </c>
      <c r="C290" s="214"/>
      <c r="D290" s="214"/>
      <c r="E290" s="214"/>
      <c r="F290" s="214"/>
      <c r="G290" s="214"/>
      <c r="H290" s="29"/>
      <c r="I290" s="29"/>
      <c r="J290" s="29"/>
      <c r="K290" s="29"/>
      <c r="L290" s="29"/>
      <c r="M290" s="29"/>
      <c r="N290" s="12"/>
      <c r="AD290" s="66"/>
      <c r="AE290" s="6"/>
      <c r="AG290" s="33"/>
      <c r="AJ290" s="66"/>
      <c r="AK290" s="6"/>
    </row>
    <row r="291" spans="1:41" x14ac:dyDescent="0.2">
      <c r="A291" s="12"/>
      <c r="B291" s="2" t="s">
        <v>21</v>
      </c>
      <c r="C291" s="2" t="s">
        <v>20</v>
      </c>
      <c r="D291" s="2" t="s">
        <v>99</v>
      </c>
      <c r="E291" s="2" t="s">
        <v>3</v>
      </c>
      <c r="F291" s="2" t="s">
        <v>4</v>
      </c>
      <c r="G291" s="2" t="s">
        <v>43</v>
      </c>
      <c r="H291" s="2"/>
      <c r="I291" s="2"/>
      <c r="J291" s="2"/>
      <c r="K291" s="2"/>
      <c r="L291" s="2"/>
      <c r="M291" s="2"/>
      <c r="N291" s="12"/>
      <c r="AD291" s="66"/>
      <c r="AE291" s="6"/>
      <c r="AG291" s="33"/>
      <c r="AJ291" s="66"/>
      <c r="AK291" s="6"/>
    </row>
    <row r="292" spans="1:41" x14ac:dyDescent="0.2">
      <c r="A292" s="12"/>
      <c r="B292" s="220" t="s">
        <v>14</v>
      </c>
      <c r="C292" s="6" t="str">
        <f t="shared" ref="C292:C311" si="36">C69</f>
        <v>PET</v>
      </c>
      <c r="D292" t="s">
        <v>1273</v>
      </c>
      <c r="E292" s="33">
        <f>K69+K114+K155+K192+K255</f>
        <v>53.750884999999997</v>
      </c>
      <c r="F292" t="s">
        <v>10</v>
      </c>
      <c r="G292" t="str">
        <f t="shared" ref="G292:G306" si="37">J69&amp;" + "&amp;J114&amp;" + "&amp;J155</f>
        <v>bottle_PET_WG_INC_mass_pyrolysis + bottle_PET_SS_INC_mass_pyrolysis + bottle_PET_PRE_INC_mass_pyrolysis</v>
      </c>
      <c r="H292" s="66" t="s">
        <v>1005</v>
      </c>
      <c r="I292" s="6"/>
      <c r="N292" s="12"/>
      <c r="AD292" s="66"/>
      <c r="AE292" s="6"/>
      <c r="AG292" s="33"/>
      <c r="AJ292" s="66"/>
      <c r="AK292" s="6"/>
    </row>
    <row r="293" spans="1:41" x14ac:dyDescent="0.2">
      <c r="A293" s="12"/>
      <c r="B293" s="220"/>
      <c r="C293" s="6" t="str">
        <f t="shared" si="36"/>
        <v>PE</v>
      </c>
      <c r="D293" t="s">
        <v>1274</v>
      </c>
      <c r="E293" s="33">
        <f t="shared" ref="E293:E306" si="38">K70+K115+K156+K193+K256</f>
        <v>18.325280730400003</v>
      </c>
      <c r="F293" t="str">
        <f>F292</f>
        <v>kg ww</v>
      </c>
      <c r="G293" t="str">
        <f t="shared" si="37"/>
        <v>bottle_PE_WG_INC_mass_pyrolysis + bottle_PE_SS_INC_mass_pyrolysis + bottle_PE_PRE_INC_mass_pyrolysis</v>
      </c>
      <c r="H293" s="66" t="s">
        <v>1005</v>
      </c>
      <c r="I293" s="6"/>
      <c r="N293" s="12"/>
      <c r="AD293" s="66"/>
      <c r="AE293" s="6"/>
      <c r="AG293" s="33"/>
      <c r="AJ293" s="66"/>
      <c r="AK293" s="6"/>
    </row>
    <row r="294" spans="1:41" x14ac:dyDescent="0.2">
      <c r="A294" s="12"/>
      <c r="B294" s="220"/>
      <c r="C294" s="6" t="str">
        <f t="shared" si="36"/>
        <v>PP</v>
      </c>
      <c r="D294" t="s">
        <v>1275</v>
      </c>
      <c r="E294" s="33">
        <f t="shared" si="38"/>
        <v>0</v>
      </c>
      <c r="F294" t="str">
        <f t="shared" ref="F294:F311" si="39">F293</f>
        <v>kg ww</v>
      </c>
      <c r="G294" t="str">
        <f t="shared" si="37"/>
        <v>bottle_PP_WG_INC_mass_pyrolysis + bottle_PP_SS_INC_mass_pyrolysis + bottle_PP_PRE_INC_mass_pyrolysis</v>
      </c>
      <c r="H294" s="66" t="s">
        <v>1005</v>
      </c>
      <c r="I294" s="6"/>
      <c r="N294" s="12"/>
      <c r="AD294" s="66"/>
      <c r="AE294" s="6"/>
      <c r="AG294" s="33"/>
      <c r="AJ294" s="66"/>
      <c r="AK294" s="6"/>
    </row>
    <row r="295" spans="1:41" x14ac:dyDescent="0.2">
      <c r="A295" s="12"/>
      <c r="B295" s="220"/>
      <c r="C295" s="6" t="str">
        <f t="shared" si="36"/>
        <v>PS</v>
      </c>
      <c r="D295" t="s">
        <v>1276</v>
      </c>
      <c r="E295" s="33">
        <f t="shared" si="38"/>
        <v>0</v>
      </c>
      <c r="F295" t="str">
        <f t="shared" si="39"/>
        <v>kg ww</v>
      </c>
      <c r="G295" t="str">
        <f t="shared" si="37"/>
        <v>bottle_PS_WG_INC_mass_pyrolysis + bottle_PS_SS_INC_mass_pyrolysis + bottle_PS_PRE_INC_mass_pyrolysis</v>
      </c>
      <c r="H295" s="66" t="s">
        <v>1005</v>
      </c>
      <c r="I295" s="6"/>
      <c r="N295" s="12"/>
      <c r="AD295" s="66"/>
      <c r="AE295" s="6"/>
      <c r="AG295" s="33"/>
      <c r="AJ295" s="66"/>
      <c r="AK295" s="6"/>
    </row>
    <row r="296" spans="1:41" x14ac:dyDescent="0.2">
      <c r="A296" s="12"/>
      <c r="B296" s="220"/>
      <c r="C296" s="6" t="str">
        <f t="shared" si="36"/>
        <v>Other</v>
      </c>
      <c r="D296" t="s">
        <v>1277</v>
      </c>
      <c r="E296" s="33">
        <f t="shared" si="38"/>
        <v>0</v>
      </c>
      <c r="F296" t="str">
        <f t="shared" si="39"/>
        <v>kg ww</v>
      </c>
      <c r="G296" t="str">
        <f t="shared" si="37"/>
        <v>bottle_Oth_WG_INC_mass_pyrolysis + bottle_Oth_SS_INC_mass_pyrolysis + bottle_Oth_PRE_INC_mass_pyrolysis</v>
      </c>
      <c r="H296" s="66" t="s">
        <v>1005</v>
      </c>
      <c r="I296" s="6"/>
      <c r="N296" s="12"/>
      <c r="AD296" s="2"/>
      <c r="AE296" s="2"/>
      <c r="AF296" s="2"/>
      <c r="AG296" s="2"/>
      <c r="AH296" s="2"/>
      <c r="AI296" s="2"/>
      <c r="AJ296" s="2"/>
      <c r="AK296" s="2"/>
      <c r="AL296" s="2"/>
      <c r="AM296" s="2"/>
      <c r="AN296" s="2"/>
      <c r="AO296" s="2"/>
    </row>
    <row r="297" spans="1:41" x14ac:dyDescent="0.2">
      <c r="A297" s="12"/>
      <c r="B297" s="220" t="s">
        <v>15</v>
      </c>
      <c r="C297" s="6" t="str">
        <f t="shared" si="36"/>
        <v>PET</v>
      </c>
      <c r="D297" t="s">
        <v>1278</v>
      </c>
      <c r="E297" s="33">
        <f t="shared" si="38"/>
        <v>9.3479799999999997</v>
      </c>
      <c r="F297" t="str">
        <f t="shared" si="39"/>
        <v>kg ww</v>
      </c>
      <c r="G297" t="str">
        <f t="shared" si="37"/>
        <v>rigid_PET_WG_INC_mass_pyrolysis + rigid_PET_SS_INC_mass_pyrolysis + rigid_PET_PRE_INC_mass_pyrolysis</v>
      </c>
      <c r="H297" s="66" t="s">
        <v>1005</v>
      </c>
      <c r="I297" s="6"/>
      <c r="N297" s="12"/>
      <c r="AD297" s="2"/>
      <c r="AE297" s="2"/>
      <c r="AF297" s="2"/>
      <c r="AG297" s="2"/>
      <c r="AH297" s="2"/>
      <c r="AI297" s="2"/>
      <c r="AJ297" s="2"/>
      <c r="AK297" s="2"/>
      <c r="AL297" s="2"/>
      <c r="AM297" s="2"/>
      <c r="AN297" s="2"/>
      <c r="AO297" s="2"/>
    </row>
    <row r="298" spans="1:41" x14ac:dyDescent="0.2">
      <c r="A298" s="12"/>
      <c r="B298" s="220"/>
      <c r="C298" s="6" t="str">
        <f t="shared" si="36"/>
        <v>PE</v>
      </c>
      <c r="D298" t="s">
        <v>1279</v>
      </c>
      <c r="E298" s="33">
        <f t="shared" si="38"/>
        <v>7.8536917415999969</v>
      </c>
      <c r="F298" t="str">
        <f t="shared" si="39"/>
        <v>kg ww</v>
      </c>
      <c r="G298" t="str">
        <f t="shared" si="37"/>
        <v>rigid_PE_WG_INC_mass_pyrolysis + rigid_PE_SS_INC_mass_pyrolysis + rigid_PE_PRE_INC_mass_pyrolysis</v>
      </c>
      <c r="H298" s="66" t="s">
        <v>1005</v>
      </c>
      <c r="I298" s="6"/>
      <c r="N298" s="12"/>
      <c r="AD298" s="2"/>
      <c r="AE298" s="2"/>
      <c r="AF298" s="2"/>
      <c r="AG298" s="2"/>
      <c r="AH298" s="2"/>
      <c r="AI298" s="2"/>
      <c r="AJ298" s="2"/>
      <c r="AK298" s="2"/>
      <c r="AL298" s="2"/>
      <c r="AM298" s="2"/>
      <c r="AN298" s="2"/>
      <c r="AO298" s="2"/>
    </row>
    <row r="299" spans="1:41" x14ac:dyDescent="0.2">
      <c r="A299" s="12"/>
      <c r="B299" s="220"/>
      <c r="C299" s="6" t="str">
        <f t="shared" si="36"/>
        <v>PP</v>
      </c>
      <c r="D299" t="s">
        <v>1280</v>
      </c>
      <c r="E299" s="33">
        <f t="shared" si="38"/>
        <v>21.275922976000004</v>
      </c>
      <c r="F299" t="str">
        <f t="shared" si="39"/>
        <v>kg ww</v>
      </c>
      <c r="G299" t="str">
        <f t="shared" si="37"/>
        <v>rigid_PP_WG_INC_mass_pyrolysis + rigid_PP_SS_INC_mass_pyrolysis + rigid_PP_PRE_INC_mass_pyrolysis</v>
      </c>
      <c r="H299" s="66" t="s">
        <v>1005</v>
      </c>
      <c r="I299" s="6"/>
      <c r="N299" s="12"/>
      <c r="AD299" s="66"/>
      <c r="AE299" s="6"/>
      <c r="AJ299" s="66"/>
      <c r="AK299" s="6"/>
      <c r="AM299" s="33"/>
    </row>
    <row r="300" spans="1:41" x14ac:dyDescent="0.2">
      <c r="A300" s="12"/>
      <c r="B300" s="220"/>
      <c r="C300" s="6" t="str">
        <f t="shared" si="36"/>
        <v>PS</v>
      </c>
      <c r="D300" t="s">
        <v>1281</v>
      </c>
      <c r="E300" s="33">
        <f t="shared" si="38"/>
        <v>2.4487272891999998</v>
      </c>
      <c r="F300" t="str">
        <f t="shared" si="39"/>
        <v>kg ww</v>
      </c>
      <c r="G300" t="str">
        <f t="shared" si="37"/>
        <v>rigid_PS_WG_INC_mass_pyrolysis + rigid_PS_SS_INC_mass_pyrolysis + rigid_PS_PRE_INC_mass_pyrolysis</v>
      </c>
      <c r="H300" s="66" t="s">
        <v>1005</v>
      </c>
      <c r="I300" s="6"/>
      <c r="N300" s="12"/>
      <c r="AD300" s="66"/>
      <c r="AE300" s="6"/>
      <c r="AJ300" s="66"/>
      <c r="AK300" s="6"/>
      <c r="AM300" s="33"/>
    </row>
    <row r="301" spans="1:41" x14ac:dyDescent="0.2">
      <c r="A301" s="12"/>
      <c r="B301" s="220"/>
      <c r="C301" s="6" t="str">
        <f t="shared" si="36"/>
        <v>Other</v>
      </c>
      <c r="D301" t="s">
        <v>1282</v>
      </c>
      <c r="E301" s="33">
        <f t="shared" si="38"/>
        <v>12.243636445999996</v>
      </c>
      <c r="F301" t="str">
        <f t="shared" si="39"/>
        <v>kg ww</v>
      </c>
      <c r="G301" t="str">
        <f t="shared" si="37"/>
        <v>rigid_Oth_WG_INC_mass_pyrolysis + rigid_Oth_SS_INC_mass_pyrolysis + rigid_Oth_PRE_INC_mass_pyrolysis</v>
      </c>
      <c r="H301" s="66" t="s">
        <v>1005</v>
      </c>
      <c r="I301" s="6"/>
      <c r="N301" s="12"/>
      <c r="AD301" s="66"/>
      <c r="AE301" s="6"/>
      <c r="AJ301" s="66"/>
      <c r="AK301" s="6"/>
      <c r="AM301" s="33"/>
    </row>
    <row r="302" spans="1:41" x14ac:dyDescent="0.2">
      <c r="A302" s="12"/>
      <c r="B302" s="220" t="s">
        <v>42</v>
      </c>
      <c r="C302" s="6" t="str">
        <f t="shared" si="36"/>
        <v>PET</v>
      </c>
      <c r="D302" t="s">
        <v>1283</v>
      </c>
      <c r="E302" s="33">
        <f t="shared" si="38"/>
        <v>0</v>
      </c>
      <c r="F302" t="str">
        <f t="shared" si="39"/>
        <v>kg ww</v>
      </c>
      <c r="G302" t="str">
        <f t="shared" si="37"/>
        <v>soft_PET_WG_INC_mass_pyrolysis + soft_PET_SS_INC_mass_pyrolysis + soft_PET_PRE_INC_mass_pyrolysis</v>
      </c>
      <c r="H302" s="66" t="s">
        <v>1005</v>
      </c>
      <c r="I302" s="6"/>
      <c r="N302" s="12"/>
      <c r="AD302" s="66"/>
      <c r="AE302" s="6"/>
      <c r="AJ302" s="66"/>
      <c r="AK302" s="6"/>
      <c r="AM302" s="33"/>
    </row>
    <row r="303" spans="1:41" x14ac:dyDescent="0.2">
      <c r="A303" s="12"/>
      <c r="B303" s="220"/>
      <c r="C303" s="6" t="str">
        <f t="shared" si="36"/>
        <v>PE</v>
      </c>
      <c r="D303" t="s">
        <v>1284</v>
      </c>
      <c r="E303" s="33">
        <f t="shared" si="38"/>
        <v>101.39603692799999</v>
      </c>
      <c r="F303" t="str">
        <f t="shared" si="39"/>
        <v>kg ww</v>
      </c>
      <c r="G303" t="str">
        <f t="shared" si="37"/>
        <v>soft_PE_WG_INC_mass_pyrolysis + soft_PE_SS_INC_mass_pyrolysis + soft_PE_PRE_INC_mass_pyrolysis</v>
      </c>
      <c r="H303" s="66" t="s">
        <v>1005</v>
      </c>
      <c r="I303" s="6"/>
      <c r="N303" s="12"/>
      <c r="AD303" s="66"/>
      <c r="AE303" s="6"/>
      <c r="AJ303" s="66"/>
      <c r="AK303" s="6"/>
      <c r="AM303" s="33"/>
    </row>
    <row r="304" spans="1:41" x14ac:dyDescent="0.2">
      <c r="A304" s="12"/>
      <c r="B304" s="220"/>
      <c r="C304" s="6" t="str">
        <f t="shared" si="36"/>
        <v>PP</v>
      </c>
      <c r="D304" t="s">
        <v>1285</v>
      </c>
      <c r="E304" s="33">
        <f t="shared" si="38"/>
        <v>0</v>
      </c>
      <c r="F304" t="str">
        <f t="shared" si="39"/>
        <v>kg ww</v>
      </c>
      <c r="G304" t="str">
        <f t="shared" si="37"/>
        <v>soft_PP_WG_INC_mass_pyrolysis + soft_PP_SS_INC_mass_pyrolysis + soft_PP_PRE_INC_mass_pyrolysis</v>
      </c>
      <c r="H304" s="66" t="s">
        <v>1005</v>
      </c>
      <c r="I304" s="6"/>
      <c r="N304" s="12"/>
      <c r="AD304" s="66"/>
      <c r="AE304" s="6"/>
      <c r="AJ304" s="66"/>
      <c r="AK304" s="6"/>
      <c r="AM304" s="33"/>
    </row>
    <row r="305" spans="1:41" x14ac:dyDescent="0.2">
      <c r="A305" s="12"/>
      <c r="B305" s="220"/>
      <c r="C305" s="6" t="str">
        <f t="shared" si="36"/>
        <v>PS</v>
      </c>
      <c r="D305" t="s">
        <v>1286</v>
      </c>
      <c r="E305" s="33">
        <f t="shared" si="38"/>
        <v>0</v>
      </c>
      <c r="F305" t="str">
        <f t="shared" si="39"/>
        <v>kg ww</v>
      </c>
      <c r="G305" t="str">
        <f t="shared" si="37"/>
        <v>soft_PS_WG_INC_mass_pyrolysis + soft_PS_SS_INC_mass_pyrolysis + soft_PS_PRE_INC_mass_pyrolysis</v>
      </c>
      <c r="H305" s="66" t="s">
        <v>1005</v>
      </c>
      <c r="I305" s="6"/>
      <c r="N305" s="12"/>
      <c r="AD305" s="66"/>
      <c r="AE305" s="6"/>
      <c r="AJ305" s="66"/>
      <c r="AK305" s="6"/>
      <c r="AM305" s="33"/>
    </row>
    <row r="306" spans="1:41" x14ac:dyDescent="0.2">
      <c r="A306" s="12"/>
      <c r="B306" s="220"/>
      <c r="C306" s="6" t="str">
        <f t="shared" si="36"/>
        <v>Other</v>
      </c>
      <c r="D306" t="s">
        <v>1287</v>
      </c>
      <c r="E306" s="33">
        <f t="shared" si="38"/>
        <v>24.487272892000004</v>
      </c>
      <c r="F306" t="str">
        <f t="shared" si="39"/>
        <v>kg ww</v>
      </c>
      <c r="G306" t="str">
        <f t="shared" si="37"/>
        <v>soft_Oth_WG_INC_mass_pyrolysis + soft_Oth_SS_INC_mass_pyrolysis + soft_Oth_PRE_INC_mass_pyrolysis</v>
      </c>
      <c r="H306" s="66" t="s">
        <v>1005</v>
      </c>
      <c r="I306" s="6"/>
      <c r="N306" s="12"/>
      <c r="AD306" s="66"/>
      <c r="AE306" s="6"/>
      <c r="AJ306" s="66"/>
      <c r="AK306" s="6"/>
      <c r="AM306" s="33"/>
    </row>
    <row r="307" spans="1:41" x14ac:dyDescent="0.2">
      <c r="A307" s="12"/>
      <c r="B307" s="220" t="s">
        <v>19</v>
      </c>
      <c r="C307" s="6" t="str">
        <f t="shared" si="36"/>
        <v>PET</v>
      </c>
      <c r="D307" t="s">
        <v>1288</v>
      </c>
      <c r="E307" s="33">
        <f>K84+K129+K170</f>
        <v>0</v>
      </c>
      <c r="F307" t="str">
        <f t="shared" si="39"/>
        <v>kg ww</v>
      </c>
      <c r="G307" t="str">
        <f>J84</f>
        <v>other_PET_WG_INC_mass_pyrolysis</v>
      </c>
      <c r="H307" s="66" t="s">
        <v>1005</v>
      </c>
      <c r="I307" s="6"/>
      <c r="N307" s="12"/>
      <c r="AD307" s="66"/>
      <c r="AE307" s="6"/>
      <c r="AJ307" s="66"/>
      <c r="AK307" s="6"/>
      <c r="AM307" s="33"/>
    </row>
    <row r="308" spans="1:41" x14ac:dyDescent="0.2">
      <c r="A308" s="12"/>
      <c r="B308" s="220"/>
      <c r="C308" s="6" t="str">
        <f t="shared" si="36"/>
        <v>PE</v>
      </c>
      <c r="D308" t="s">
        <v>1289</v>
      </c>
      <c r="E308" s="33">
        <f>K85+K130</f>
        <v>0</v>
      </c>
      <c r="F308" t="str">
        <f t="shared" si="39"/>
        <v>kg ww</v>
      </c>
      <c r="G308" t="str">
        <f>J85</f>
        <v>other_PE_WG_INC_mass_pyrolysis</v>
      </c>
      <c r="H308" s="66" t="s">
        <v>1005</v>
      </c>
      <c r="I308" s="6"/>
      <c r="N308" s="12"/>
      <c r="AD308" s="66"/>
      <c r="AE308" s="6"/>
      <c r="AJ308" s="66"/>
      <c r="AK308" s="6"/>
      <c r="AM308" s="33"/>
    </row>
    <row r="309" spans="1:41" x14ac:dyDescent="0.2">
      <c r="A309" s="12"/>
      <c r="B309" s="220"/>
      <c r="C309" s="6" t="str">
        <f t="shared" si="36"/>
        <v>PP</v>
      </c>
      <c r="D309" t="s">
        <v>1290</v>
      </c>
      <c r="E309" s="33">
        <f>K86+K131</f>
        <v>0</v>
      </c>
      <c r="F309" t="str">
        <f t="shared" si="39"/>
        <v>kg ww</v>
      </c>
      <c r="G309" t="str">
        <f>J86</f>
        <v>other_PP_WG_INC_mass_pyrolysis</v>
      </c>
      <c r="H309" s="66" t="s">
        <v>1005</v>
      </c>
      <c r="I309" s="6"/>
      <c r="N309" s="12"/>
      <c r="AD309" s="66"/>
      <c r="AE309" s="6"/>
      <c r="AJ309" s="66"/>
      <c r="AK309" s="6"/>
      <c r="AM309" s="33"/>
    </row>
    <row r="310" spans="1:41" x14ac:dyDescent="0.2">
      <c r="A310" s="12"/>
      <c r="B310" s="220"/>
      <c r="C310" s="6" t="str">
        <f t="shared" si="36"/>
        <v>PS</v>
      </c>
      <c r="D310" t="s">
        <v>1291</v>
      </c>
      <c r="E310" s="33">
        <f>K87+K132</f>
        <v>0</v>
      </c>
      <c r="F310" t="str">
        <f t="shared" si="39"/>
        <v>kg ww</v>
      </c>
      <c r="G310" t="str">
        <f>J87</f>
        <v>other_PS_WG_INC_mass_pyrolysis</v>
      </c>
      <c r="H310" s="66" t="s">
        <v>1005</v>
      </c>
      <c r="I310" s="6"/>
      <c r="N310" s="12"/>
      <c r="AD310" s="66"/>
      <c r="AE310" s="6"/>
      <c r="AJ310" s="66"/>
      <c r="AK310" s="6"/>
      <c r="AM310" s="33"/>
    </row>
    <row r="311" spans="1:41" x14ac:dyDescent="0.2">
      <c r="A311" s="12"/>
      <c r="B311" s="220"/>
      <c r="C311" s="6" t="str">
        <f t="shared" si="36"/>
        <v>Other</v>
      </c>
      <c r="D311" t="s">
        <v>1292</v>
      </c>
      <c r="E311" s="33">
        <f>K88+K133</f>
        <v>99.999999999999929</v>
      </c>
      <c r="F311" t="str">
        <f t="shared" si="39"/>
        <v>kg ww</v>
      </c>
      <c r="G311" t="str">
        <f>J88</f>
        <v>other_Oth_WG_INC_mass_pyrolysis</v>
      </c>
      <c r="H311" s="66" t="s">
        <v>1005</v>
      </c>
      <c r="I311" s="6"/>
      <c r="N311" s="12"/>
      <c r="AD311" s="66"/>
      <c r="AE311" s="6"/>
      <c r="AJ311" s="66"/>
      <c r="AK311" s="6"/>
      <c r="AM311" s="33"/>
    </row>
    <row r="312" spans="1:41" ht="25" customHeight="1" x14ac:dyDescent="0.2">
      <c r="A312" s="12"/>
      <c r="B312" s="214" t="s">
        <v>127</v>
      </c>
      <c r="C312" s="214"/>
      <c r="D312" s="214"/>
      <c r="E312" s="214"/>
      <c r="F312" s="214"/>
      <c r="G312" s="214"/>
      <c r="H312" s="214"/>
      <c r="I312" s="214"/>
      <c r="J312" s="214"/>
      <c r="K312" s="214"/>
      <c r="L312" s="214"/>
      <c r="M312" s="214"/>
      <c r="N312" s="12"/>
      <c r="AD312" s="66"/>
      <c r="AE312" s="6"/>
      <c r="AJ312" s="66"/>
      <c r="AK312" s="6"/>
      <c r="AM312" s="33"/>
    </row>
    <row r="313" spans="1:41" ht="25" customHeight="1" x14ac:dyDescent="0.2">
      <c r="A313" s="12"/>
      <c r="B313" s="214" t="s">
        <v>164</v>
      </c>
      <c r="C313" s="214"/>
      <c r="D313" s="214"/>
      <c r="E313" s="214"/>
      <c r="F313" s="214"/>
      <c r="G313" s="223"/>
      <c r="H313" s="214" t="s">
        <v>165</v>
      </c>
      <c r="I313" s="214"/>
      <c r="J313" s="214"/>
      <c r="K313" s="214"/>
      <c r="L313" s="214"/>
      <c r="M313" s="214"/>
      <c r="N313" s="12"/>
      <c r="AD313" s="66"/>
      <c r="AE313" s="6"/>
      <c r="AJ313" s="66"/>
      <c r="AK313" s="6"/>
      <c r="AM313" s="33"/>
    </row>
    <row r="314" spans="1:41" x14ac:dyDescent="0.2">
      <c r="A314" s="12"/>
      <c r="B314" s="2" t="s">
        <v>21</v>
      </c>
      <c r="C314" s="2" t="s">
        <v>20</v>
      </c>
      <c r="D314" s="2" t="s">
        <v>99</v>
      </c>
      <c r="E314" s="2" t="s">
        <v>3</v>
      </c>
      <c r="F314" s="2" t="s">
        <v>4</v>
      </c>
      <c r="G314" s="4" t="s">
        <v>43</v>
      </c>
      <c r="H314" s="2" t="str">
        <f>B314</f>
        <v>Fraction</v>
      </c>
      <c r="I314" s="2" t="str">
        <f t="shared" ref="I314:L314" si="40">C314</f>
        <v>Sub-fraction</v>
      </c>
      <c r="J314" s="2" t="str">
        <f t="shared" si="40"/>
        <v>Name</v>
      </c>
      <c r="K314" s="2" t="str">
        <f t="shared" si="40"/>
        <v>Value</v>
      </c>
      <c r="L314" s="2" t="str">
        <f t="shared" si="40"/>
        <v>Unit</v>
      </c>
      <c r="M314" s="2" t="str">
        <f>G314</f>
        <v>Equation</v>
      </c>
      <c r="N314" s="12"/>
      <c r="AD314" s="66"/>
      <c r="AE314" s="6"/>
      <c r="AJ314" s="66"/>
      <c r="AK314" s="6"/>
      <c r="AM314" s="33"/>
    </row>
    <row r="315" spans="1:41" x14ac:dyDescent="0.2">
      <c r="A315" s="12"/>
      <c r="B315" s="220" t="s">
        <v>14</v>
      </c>
      <c r="C315" s="6" t="str">
        <f>C292</f>
        <v>PET</v>
      </c>
      <c r="D315" t="s">
        <v>1293</v>
      </c>
      <c r="E315">
        <f>$C$282*E292</f>
        <v>2.9345295665749997</v>
      </c>
      <c r="F315" t="s">
        <v>10</v>
      </c>
      <c r="G315" s="32" t="str">
        <f>$B$282&amp;" * "&amp;D292</f>
        <v>ash_bottle_mass * bottle_PET_INC_tot_mass_pyrolysis</v>
      </c>
      <c r="H315" s="220" t="str">
        <f>B315</f>
        <v>Bottle</v>
      </c>
      <c r="I315" s="6" t="str">
        <f>C315</f>
        <v>PET</v>
      </c>
      <c r="J315" t="s">
        <v>1294</v>
      </c>
      <c r="K315" s="33">
        <f>E292-E315</f>
        <v>50.816355433424995</v>
      </c>
      <c r="L315" t="s">
        <v>10</v>
      </c>
      <c r="M315" t="str">
        <f>D292&amp;" - "&amp;D315</f>
        <v>bottle_PET_INC_tot_mass_pyrolysis - bottle_PET_INC_ASH_mass_pyrolysis</v>
      </c>
      <c r="N315" s="12"/>
      <c r="AD315" s="66"/>
      <c r="AE315" s="6"/>
      <c r="AJ315" s="66"/>
      <c r="AK315" s="6"/>
      <c r="AM315" s="33"/>
    </row>
    <row r="316" spans="1:41" x14ac:dyDescent="0.2">
      <c r="A316" s="12"/>
      <c r="B316" s="220"/>
      <c r="C316" s="6" t="str">
        <f t="shared" ref="C316:C334" si="41">C293</f>
        <v>PE</v>
      </c>
      <c r="D316" t="s">
        <v>1295</v>
      </c>
      <c r="E316">
        <f>$C$282*E293</f>
        <v>1.0004687014761882</v>
      </c>
      <c r="F316" t="str">
        <f>F315</f>
        <v>kg ww</v>
      </c>
      <c r="G316" s="32" t="str">
        <f t="shared" ref="G316:G319" si="42">$B$282&amp;" * "&amp;D293</f>
        <v>ash_bottle_mass * bottle_PE_INC_tot_mass_pyrolysis</v>
      </c>
      <c r="H316" s="220"/>
      <c r="I316" s="6" t="str">
        <f t="shared" ref="I316:I334" si="43">C316</f>
        <v>PE</v>
      </c>
      <c r="J316" t="s">
        <v>1296</v>
      </c>
      <c r="K316" s="33">
        <f>E293-E316</f>
        <v>17.324812028923816</v>
      </c>
      <c r="L316" t="str">
        <f>L315</f>
        <v>kg ww</v>
      </c>
      <c r="M316" t="str">
        <f t="shared" ref="M316:M334" si="44">D293&amp;" - "&amp;D316</f>
        <v>bottle_PE_INC_tot_mass_pyrolysis - bottle_PE_INC_ASH_mass_pyrolysis</v>
      </c>
      <c r="N316" s="12"/>
      <c r="P316" s="66"/>
      <c r="Q316" s="6"/>
      <c r="S316" s="33"/>
      <c r="V316" s="66"/>
      <c r="W316" s="6"/>
      <c r="Y316" s="33"/>
      <c r="AD316" s="66"/>
      <c r="AE316" s="6"/>
      <c r="AJ316" s="66"/>
      <c r="AK316" s="6"/>
      <c r="AM316" s="33"/>
    </row>
    <row r="317" spans="1:41" x14ac:dyDescent="0.2">
      <c r="A317" s="12"/>
      <c r="B317" s="220"/>
      <c r="C317" s="6" t="str">
        <f t="shared" si="41"/>
        <v>PP</v>
      </c>
      <c r="D317" t="s">
        <v>1297</v>
      </c>
      <c r="E317">
        <f>$C$282*E294</f>
        <v>0</v>
      </c>
      <c r="F317" t="str">
        <f t="shared" ref="F317:F334" si="45">F316</f>
        <v>kg ww</v>
      </c>
      <c r="G317" s="32" t="str">
        <f t="shared" si="42"/>
        <v>ash_bottle_mass * bottle_PP_INC_tot_mass_pyrolysis</v>
      </c>
      <c r="H317" s="220"/>
      <c r="I317" s="6" t="str">
        <f t="shared" si="43"/>
        <v>PP</v>
      </c>
      <c r="J317" t="s">
        <v>1298</v>
      </c>
      <c r="K317" s="33">
        <f>E294-E317</f>
        <v>0</v>
      </c>
      <c r="L317" t="str">
        <f t="shared" ref="L317:L334" si="46">L316</f>
        <v>kg ww</v>
      </c>
      <c r="M317" t="str">
        <f t="shared" si="44"/>
        <v>bottle_PP_INC_tot_mass_pyrolysis - bottle_PP_INC_ASH_mass_pyrolysis</v>
      </c>
      <c r="N317" s="12"/>
      <c r="P317" s="66"/>
      <c r="Q317" s="6"/>
      <c r="S317" s="33"/>
      <c r="V317" s="66"/>
      <c r="W317" s="6"/>
      <c r="Y317" s="33"/>
      <c r="AD317" s="66"/>
      <c r="AE317" s="6"/>
      <c r="AJ317" s="66"/>
      <c r="AK317" s="6"/>
      <c r="AM317" s="33"/>
    </row>
    <row r="318" spans="1:41" x14ac:dyDescent="0.2">
      <c r="A318" s="12"/>
      <c r="B318" s="220"/>
      <c r="C318" s="6" t="str">
        <f t="shared" si="41"/>
        <v>PS</v>
      </c>
      <c r="D318" t="s">
        <v>1299</v>
      </c>
      <c r="E318">
        <f>$C$282*E295</f>
        <v>0</v>
      </c>
      <c r="F318" t="str">
        <f t="shared" si="45"/>
        <v>kg ww</v>
      </c>
      <c r="G318" s="32" t="str">
        <f t="shared" si="42"/>
        <v>ash_bottle_mass * bottle_PS_INC_tot_mass_pyrolysis</v>
      </c>
      <c r="H318" s="220"/>
      <c r="I318" s="6" t="str">
        <f t="shared" si="43"/>
        <v>PS</v>
      </c>
      <c r="J318" t="s">
        <v>1300</v>
      </c>
      <c r="K318" s="33">
        <f t="shared" ref="K318:K334" si="47">E295-E318</f>
        <v>0</v>
      </c>
      <c r="L318" t="str">
        <f t="shared" si="46"/>
        <v>kg ww</v>
      </c>
      <c r="M318" t="str">
        <f t="shared" si="44"/>
        <v>bottle_PS_INC_tot_mass_pyrolysis - bottle_PS_INC_ASH_mass_pyrolysis</v>
      </c>
      <c r="N318" s="12"/>
      <c r="P318" s="66"/>
      <c r="Q318" s="6"/>
      <c r="S318" s="33"/>
      <c r="V318" s="66"/>
      <c r="W318" s="6"/>
      <c r="Y318" s="33"/>
      <c r="AD318" s="66"/>
      <c r="AE318" s="6"/>
      <c r="AJ318" s="66"/>
      <c r="AK318" s="6"/>
      <c r="AM318" s="33"/>
    </row>
    <row r="319" spans="1:41" x14ac:dyDescent="0.2">
      <c r="A319" s="12"/>
      <c r="B319" s="220"/>
      <c r="C319" s="6" t="str">
        <f t="shared" si="41"/>
        <v>Other</v>
      </c>
      <c r="D319" t="s">
        <v>1301</v>
      </c>
      <c r="E319">
        <f>$C$282*E296</f>
        <v>0</v>
      </c>
      <c r="F319" t="str">
        <f t="shared" si="45"/>
        <v>kg ww</v>
      </c>
      <c r="G319" s="32" t="str">
        <f t="shared" si="42"/>
        <v>ash_bottle_mass * bottle_oth_INC_tot_mass_pyrolysis</v>
      </c>
      <c r="H319" s="220"/>
      <c r="I319" s="6" t="str">
        <f t="shared" si="43"/>
        <v>Other</v>
      </c>
      <c r="J319" t="s">
        <v>1302</v>
      </c>
      <c r="K319" s="33">
        <f t="shared" si="47"/>
        <v>0</v>
      </c>
      <c r="L319" t="str">
        <f t="shared" si="46"/>
        <v>kg ww</v>
      </c>
      <c r="M319" t="str">
        <f t="shared" si="44"/>
        <v>bottle_oth_INC_tot_mass_pyrolysis - bottle_Oth_INC_ASH_mass_pyrolysis</v>
      </c>
      <c r="N319" s="12"/>
      <c r="P319" s="2"/>
      <c r="Q319" s="2"/>
      <c r="R319" s="2"/>
      <c r="S319" s="2"/>
      <c r="T319" s="2"/>
      <c r="U319" s="2"/>
      <c r="V319" s="2"/>
      <c r="W319" s="2"/>
      <c r="X319" s="2"/>
      <c r="Y319" s="2"/>
      <c r="Z319" s="2"/>
      <c r="AA319" s="2"/>
      <c r="AD319" s="2"/>
      <c r="AE319" s="2"/>
      <c r="AF319" s="2"/>
      <c r="AG319" s="2"/>
      <c r="AH319" s="2"/>
      <c r="AI319" s="2"/>
      <c r="AJ319" s="2"/>
      <c r="AK319" s="2"/>
      <c r="AL319" s="2"/>
      <c r="AM319" s="2"/>
      <c r="AN319" s="2"/>
      <c r="AO319" s="2"/>
    </row>
    <row r="320" spans="1:41" x14ac:dyDescent="0.2">
      <c r="A320" s="12"/>
      <c r="B320" s="220" t="s">
        <v>15</v>
      </c>
      <c r="C320" s="6" t="str">
        <f t="shared" si="41"/>
        <v>PET</v>
      </c>
      <c r="D320" t="s">
        <v>1303</v>
      </c>
      <c r="E320">
        <f>$C$283*E297</f>
        <v>0.19907458207999998</v>
      </c>
      <c r="F320" t="str">
        <f t="shared" si="45"/>
        <v>kg ww</v>
      </c>
      <c r="G320" s="32" t="str">
        <f>$B$283&amp;" * "&amp;D297</f>
        <v>ash_rigid_mass * rigid_PET_INC_tot_mass_pyrolysis</v>
      </c>
      <c r="H320" s="220" t="s">
        <v>15</v>
      </c>
      <c r="I320" s="6" t="str">
        <f t="shared" si="43"/>
        <v>PET</v>
      </c>
      <c r="J320" t="s">
        <v>1304</v>
      </c>
      <c r="K320" s="33">
        <f t="shared" si="47"/>
        <v>9.14890541792</v>
      </c>
      <c r="L320" t="str">
        <f t="shared" si="46"/>
        <v>kg ww</v>
      </c>
      <c r="M320" t="str">
        <f t="shared" si="44"/>
        <v>rigid_PET_INC_tot_mass_pyrolysis - rigid_PET_INC_ASH_mass_pyrolysis</v>
      </c>
      <c r="N320" s="12"/>
      <c r="P320" s="2"/>
      <c r="Q320" s="2"/>
      <c r="R320" s="2"/>
      <c r="S320" s="2"/>
      <c r="T320" s="2"/>
      <c r="U320" s="2"/>
      <c r="V320" s="2"/>
      <c r="W320" s="2"/>
      <c r="X320" s="2"/>
      <c r="Y320" s="2"/>
      <c r="Z320" s="2"/>
      <c r="AA320" s="2"/>
      <c r="AD320" s="2"/>
      <c r="AE320" s="2"/>
      <c r="AF320" s="2"/>
      <c r="AG320" s="2"/>
      <c r="AH320" s="2"/>
      <c r="AI320" s="2"/>
      <c r="AJ320" s="2"/>
      <c r="AK320" s="2"/>
      <c r="AL320" s="2"/>
      <c r="AM320" s="2"/>
      <c r="AN320" s="2"/>
      <c r="AO320" s="2"/>
    </row>
    <row r="321" spans="1:42" x14ac:dyDescent="0.2">
      <c r="A321" s="12"/>
      <c r="B321" s="220"/>
      <c r="C321" s="6" t="str">
        <f t="shared" si="41"/>
        <v>PE</v>
      </c>
      <c r="D321" t="s">
        <v>1305</v>
      </c>
      <c r="E321">
        <f>$C$283*E298</f>
        <v>0.16725221932911352</v>
      </c>
      <c r="F321" t="str">
        <f t="shared" si="45"/>
        <v>kg ww</v>
      </c>
      <c r="G321" s="32" t="str">
        <f t="shared" ref="G321:G324" si="48">$B$283&amp;" * "&amp;D298</f>
        <v>ash_rigid_mass * rigid_PE_INC_tot_mass_pyrolysis</v>
      </c>
      <c r="H321" s="220"/>
      <c r="I321" s="6" t="str">
        <f t="shared" si="43"/>
        <v>PE</v>
      </c>
      <c r="J321" t="s">
        <v>1306</v>
      </c>
      <c r="K321" s="33">
        <f t="shared" si="47"/>
        <v>7.6864395222708835</v>
      </c>
      <c r="L321" t="str">
        <f t="shared" si="46"/>
        <v>kg ww</v>
      </c>
      <c r="M321" t="str">
        <f t="shared" si="44"/>
        <v>rigid_PE_INC_tot_mass_pyrolysis - rigid_PE_INC_ASH_mass_pyrolysis</v>
      </c>
      <c r="N321" s="12"/>
      <c r="P321" s="2"/>
      <c r="Q321" s="2"/>
      <c r="R321" s="2"/>
      <c r="S321" s="2"/>
      <c r="T321" s="2"/>
      <c r="U321" s="2"/>
      <c r="V321" s="2"/>
      <c r="W321" s="2"/>
      <c r="X321" s="2"/>
      <c r="Y321" s="2"/>
      <c r="Z321" s="2"/>
      <c r="AA321" s="2"/>
      <c r="AD321" s="2"/>
      <c r="AE321" s="2"/>
      <c r="AF321" s="2"/>
      <c r="AG321" s="2"/>
      <c r="AH321" s="2"/>
      <c r="AI321" s="2"/>
      <c r="AJ321" s="2"/>
      <c r="AK321" s="2"/>
      <c r="AL321" s="2"/>
      <c r="AM321" s="2"/>
      <c r="AN321" s="2"/>
      <c r="AO321" s="2"/>
    </row>
    <row r="322" spans="1:42" x14ac:dyDescent="0.2">
      <c r="A322" s="12"/>
      <c r="B322" s="220"/>
      <c r="C322" s="6" t="str">
        <f t="shared" si="41"/>
        <v>PP</v>
      </c>
      <c r="D322" t="s">
        <v>1307</v>
      </c>
      <c r="E322">
        <f>$C$283*E299</f>
        <v>0.45309205569689603</v>
      </c>
      <c r="F322" t="str">
        <f t="shared" si="45"/>
        <v>kg ww</v>
      </c>
      <c r="G322" s="32" t="str">
        <f t="shared" si="48"/>
        <v>ash_rigid_mass * rigid_PP_INC_tot_mass_pyrolysis</v>
      </c>
      <c r="H322" s="220"/>
      <c r="I322" s="6" t="str">
        <f t="shared" si="43"/>
        <v>PP</v>
      </c>
      <c r="J322" t="s">
        <v>1308</v>
      </c>
      <c r="K322" s="33">
        <f>E299-E322</f>
        <v>20.822830920303108</v>
      </c>
      <c r="L322" t="str">
        <f t="shared" si="46"/>
        <v>kg ww</v>
      </c>
      <c r="M322" t="str">
        <f t="shared" si="44"/>
        <v>rigid_PP_INC_tot_mass_pyrolysis - rigid_PP_INC_ASH_mass_pyrolysis</v>
      </c>
      <c r="N322" s="12"/>
      <c r="Q322" s="33"/>
      <c r="W322" s="33"/>
    </row>
    <row r="323" spans="1:42" x14ac:dyDescent="0.2">
      <c r="A323" s="12"/>
      <c r="B323" s="220"/>
      <c r="C323" s="6" t="str">
        <f t="shared" si="41"/>
        <v>PS</v>
      </c>
      <c r="D323" t="s">
        <v>1309</v>
      </c>
      <c r="E323">
        <f>$C$283*E300</f>
        <v>5.2148096350803197E-2</v>
      </c>
      <c r="F323" t="str">
        <f t="shared" si="45"/>
        <v>kg ww</v>
      </c>
      <c r="G323" s="32" t="str">
        <f t="shared" si="48"/>
        <v>ash_rigid_mass * rigid_PS_INC_tot_mass_pyrolysis</v>
      </c>
      <c r="H323" s="220"/>
      <c r="I323" s="6" t="str">
        <f t="shared" si="43"/>
        <v>PS</v>
      </c>
      <c r="J323" t="s">
        <v>1310</v>
      </c>
      <c r="K323" s="33">
        <f t="shared" si="47"/>
        <v>2.3965791928491966</v>
      </c>
      <c r="L323" t="str">
        <f t="shared" si="46"/>
        <v>kg ww</v>
      </c>
      <c r="M323" t="str">
        <f t="shared" si="44"/>
        <v>rigid_PS_INC_tot_mass_pyrolysis - rigid_PS_INC_ASH_mass_pyrolysis</v>
      </c>
      <c r="N323" s="12"/>
      <c r="Q323" s="33"/>
    </row>
    <row r="324" spans="1:42" x14ac:dyDescent="0.2">
      <c r="A324" s="12"/>
      <c r="B324" s="220"/>
      <c r="C324" s="6" t="str">
        <f t="shared" si="41"/>
        <v>Other</v>
      </c>
      <c r="D324" t="s">
        <v>1311</v>
      </c>
      <c r="E324">
        <f>$C$283*E301</f>
        <v>0.26074048175401593</v>
      </c>
      <c r="F324" t="str">
        <f t="shared" si="45"/>
        <v>kg ww</v>
      </c>
      <c r="G324" s="32" t="str">
        <f t="shared" si="48"/>
        <v>ash_rigid_mass * rigid_Oth_INC_tot_mass_pyrolysis</v>
      </c>
      <c r="H324" s="220"/>
      <c r="I324" s="6" t="str">
        <f t="shared" si="43"/>
        <v>Other</v>
      </c>
      <c r="J324" t="s">
        <v>1312</v>
      </c>
      <c r="K324" s="33">
        <f t="shared" si="47"/>
        <v>11.98289596424598</v>
      </c>
      <c r="L324" t="str">
        <f t="shared" si="46"/>
        <v>kg ww</v>
      </c>
      <c r="M324" t="str">
        <f t="shared" si="44"/>
        <v>rigid_Oth_INC_tot_mass_pyrolysis - rigid_Oth_INC_ASH_mass_pyrolysis</v>
      </c>
      <c r="N324" s="12"/>
    </row>
    <row r="325" spans="1:42" x14ac:dyDescent="0.2">
      <c r="A325" s="12"/>
      <c r="B325" s="220" t="s">
        <v>42</v>
      </c>
      <c r="C325" s="6" t="str">
        <f t="shared" si="41"/>
        <v>PET</v>
      </c>
      <c r="D325" t="s">
        <v>1313</v>
      </c>
      <c r="E325">
        <f>$C$284*E302</f>
        <v>0</v>
      </c>
      <c r="F325" t="str">
        <f t="shared" si="45"/>
        <v>kg ww</v>
      </c>
      <c r="G325" s="32" t="str">
        <f>$B$284&amp;" * "&amp;D302</f>
        <v>ash_soft_mass * soft_PET_INC_tot_mass_pyrolysis</v>
      </c>
      <c r="H325" s="220" t="s">
        <v>42</v>
      </c>
      <c r="I325" s="6" t="str">
        <f t="shared" si="43"/>
        <v>PET</v>
      </c>
      <c r="J325" t="s">
        <v>1314</v>
      </c>
      <c r="K325" s="33">
        <f t="shared" si="47"/>
        <v>0</v>
      </c>
      <c r="L325" t="str">
        <f t="shared" si="46"/>
        <v>kg ww</v>
      </c>
      <c r="M325" t="str">
        <f t="shared" si="44"/>
        <v>soft_PET_INC_tot_mass_pyrolysis - soft_PET_INC_ASH_mass_pyrolysis</v>
      </c>
      <c r="N325" s="12"/>
    </row>
    <row r="326" spans="1:42" x14ac:dyDescent="0.2">
      <c r="A326" s="12"/>
      <c r="B326" s="220"/>
      <c r="C326" s="6" t="str">
        <f t="shared" si="41"/>
        <v>PE</v>
      </c>
      <c r="D326" t="s">
        <v>1315</v>
      </c>
      <c r="E326">
        <f>$C$284*E303</f>
        <v>3.8319184691682047</v>
      </c>
      <c r="F326" t="str">
        <f t="shared" si="45"/>
        <v>kg ww</v>
      </c>
      <c r="G326" s="32" t="str">
        <f t="shared" ref="G326:G329" si="49">$B$284&amp;" * "&amp;D303</f>
        <v>ash_soft_mass * soft_PE_INC_tot_mass_pyrolysis</v>
      </c>
      <c r="H326" s="220"/>
      <c r="I326" s="6" t="str">
        <f t="shared" si="43"/>
        <v>PE</v>
      </c>
      <c r="J326" t="s">
        <v>1316</v>
      </c>
      <c r="K326" s="33">
        <f t="shared" si="47"/>
        <v>97.564118458831786</v>
      </c>
      <c r="L326" t="str">
        <f t="shared" si="46"/>
        <v>kg ww</v>
      </c>
      <c r="M326" t="str">
        <f t="shared" si="44"/>
        <v>soft_PE_INC_tot_mass_pyrolysis - soft_PE_INC_ASH_mass_pyrolysis</v>
      </c>
      <c r="N326" s="12"/>
      <c r="Q326" s="33"/>
      <c r="W326" s="33"/>
    </row>
    <row r="327" spans="1:42" x14ac:dyDescent="0.2">
      <c r="A327" s="12"/>
      <c r="B327" s="220"/>
      <c r="C327" s="6" t="str">
        <f t="shared" si="41"/>
        <v>PP</v>
      </c>
      <c r="D327" t="s">
        <v>1317</v>
      </c>
      <c r="E327">
        <f>$C$284*E304</f>
        <v>0</v>
      </c>
      <c r="F327" t="str">
        <f t="shared" si="45"/>
        <v>kg ww</v>
      </c>
      <c r="G327" s="32" t="str">
        <f t="shared" si="49"/>
        <v>ash_soft_mass * soft_PP_INC_tot_mass_pyrolysis</v>
      </c>
      <c r="H327" s="220"/>
      <c r="I327" s="6" t="str">
        <f t="shared" si="43"/>
        <v>PP</v>
      </c>
      <c r="J327" t="s">
        <v>1318</v>
      </c>
      <c r="K327" s="33">
        <f t="shared" si="47"/>
        <v>0</v>
      </c>
      <c r="L327" t="str">
        <f t="shared" si="46"/>
        <v>kg ww</v>
      </c>
      <c r="M327" t="str">
        <f t="shared" si="44"/>
        <v>soft_PP_INC_tot_mass_pyrolysis - soft_PP_INC_ASH_mass_pyrolysis</v>
      </c>
      <c r="N327" s="12"/>
    </row>
    <row r="328" spans="1:42" x14ac:dyDescent="0.2">
      <c r="A328" s="12"/>
      <c r="B328" s="220"/>
      <c r="C328" s="6" t="str">
        <f t="shared" si="41"/>
        <v>PS</v>
      </c>
      <c r="D328" t="s">
        <v>1319</v>
      </c>
      <c r="E328">
        <f>$C$284*E305</f>
        <v>0</v>
      </c>
      <c r="F328" t="str">
        <f t="shared" si="45"/>
        <v>kg ww</v>
      </c>
      <c r="G328" s="32" t="str">
        <f t="shared" si="49"/>
        <v>ash_soft_mass * soft_PS_INC_tot_mass_pyrolysis</v>
      </c>
      <c r="H328" s="220"/>
      <c r="I328" s="6" t="str">
        <f t="shared" si="43"/>
        <v>PS</v>
      </c>
      <c r="J328" t="s">
        <v>1320</v>
      </c>
      <c r="K328" s="33">
        <f t="shared" si="47"/>
        <v>0</v>
      </c>
      <c r="L328" t="str">
        <f t="shared" si="46"/>
        <v>kg ww</v>
      </c>
      <c r="M328" t="str">
        <f t="shared" si="44"/>
        <v>soft_PS_INC_tot_mass_pyrolysis - soft_PS_INC_ASH_mass_pyrolysis</v>
      </c>
      <c r="N328" s="12"/>
    </row>
    <row r="329" spans="1:42" x14ac:dyDescent="0.2">
      <c r="A329" s="12"/>
      <c r="B329" s="220"/>
      <c r="C329" s="6" t="str">
        <f t="shared" si="41"/>
        <v>Other</v>
      </c>
      <c r="D329" t="s">
        <v>1321</v>
      </c>
      <c r="E329">
        <f>$C$284*E306</f>
        <v>0.92541322222530742</v>
      </c>
      <c r="F329" t="str">
        <f t="shared" si="45"/>
        <v>kg ww</v>
      </c>
      <c r="G329" s="32" t="str">
        <f t="shared" si="49"/>
        <v>ash_soft_mass * soft_Oth_INC_tot_mass_pyrolysis</v>
      </c>
      <c r="H329" s="220"/>
      <c r="I329" s="6" t="str">
        <f t="shared" si="43"/>
        <v>Other</v>
      </c>
      <c r="J329" t="s">
        <v>1322</v>
      </c>
      <c r="K329" s="33">
        <f t="shared" si="47"/>
        <v>23.561859669774694</v>
      </c>
      <c r="L329" t="str">
        <f t="shared" si="46"/>
        <v>kg ww</v>
      </c>
      <c r="M329" t="str">
        <f t="shared" si="44"/>
        <v>soft_Oth_INC_tot_mass_pyrolysis - soft_Oth_INC_ASH_mass_pyrolysis</v>
      </c>
      <c r="N329" s="12"/>
    </row>
    <row r="330" spans="1:42" x14ac:dyDescent="0.2">
      <c r="A330" s="12"/>
      <c r="B330" s="220" t="s">
        <v>19</v>
      </c>
      <c r="C330" s="6" t="str">
        <f t="shared" si="41"/>
        <v>PET</v>
      </c>
      <c r="D330" t="s">
        <v>1323</v>
      </c>
      <c r="E330">
        <f>$C$285*E307</f>
        <v>0</v>
      </c>
      <c r="F330" t="str">
        <f t="shared" si="45"/>
        <v>kg ww</v>
      </c>
      <c r="G330" s="32" t="str">
        <f>$B$285&amp;" * "&amp;D307</f>
        <v>ash_nonrec_mass * other_PET_INC_tot_mass_pyrolysis</v>
      </c>
      <c r="H330" s="220" t="s">
        <v>19</v>
      </c>
      <c r="I330" s="6" t="str">
        <f t="shared" si="43"/>
        <v>PET</v>
      </c>
      <c r="J330" t="s">
        <v>1324</v>
      </c>
      <c r="K330" s="33">
        <f t="shared" si="47"/>
        <v>0</v>
      </c>
      <c r="L330" t="str">
        <f t="shared" si="46"/>
        <v>kg ww</v>
      </c>
      <c r="M330" t="str">
        <f t="shared" si="44"/>
        <v>other_PET_INC_tot_mass_pyrolysis - other_PET_INC_ASH_mass_pyrolysis</v>
      </c>
      <c r="N330" s="12"/>
    </row>
    <row r="331" spans="1:42" x14ac:dyDescent="0.2">
      <c r="A331" s="12"/>
      <c r="B331" s="220"/>
      <c r="C331" s="6" t="str">
        <f t="shared" si="41"/>
        <v>PE</v>
      </c>
      <c r="D331" t="s">
        <v>1325</v>
      </c>
      <c r="E331">
        <f>$C$285*E308</f>
        <v>0</v>
      </c>
      <c r="F331" t="str">
        <f t="shared" si="45"/>
        <v>kg ww</v>
      </c>
      <c r="G331" s="32" t="str">
        <f t="shared" ref="G331:G334" si="50">$B$285&amp;" * "&amp;D308</f>
        <v>ash_nonrec_mass * other_PE_INC_tot_mass_pyrolysis</v>
      </c>
      <c r="H331" s="220"/>
      <c r="I331" s="6" t="str">
        <f t="shared" si="43"/>
        <v>PE</v>
      </c>
      <c r="J331" t="s">
        <v>1326</v>
      </c>
      <c r="K331" s="33">
        <f t="shared" si="47"/>
        <v>0</v>
      </c>
      <c r="L331" t="str">
        <f t="shared" si="46"/>
        <v>kg ww</v>
      </c>
      <c r="M331" t="str">
        <f t="shared" si="44"/>
        <v>other_PE_INC_tot_mass_pyrolysis - other_PE_INC_ASH_mass_pyrolysis</v>
      </c>
      <c r="N331" s="12"/>
      <c r="AD331" s="2"/>
      <c r="AE331" s="2"/>
      <c r="AF331" s="2"/>
      <c r="AG331" s="2"/>
      <c r="AH331" s="2"/>
      <c r="AI331" s="2"/>
      <c r="AJ331" s="2"/>
      <c r="AK331" s="2"/>
      <c r="AL331" s="2"/>
      <c r="AM331" s="2"/>
      <c r="AN331" s="2"/>
      <c r="AO331" s="2"/>
    </row>
    <row r="332" spans="1:42" x14ac:dyDescent="0.2">
      <c r="A332" s="12"/>
      <c r="B332" s="220"/>
      <c r="C332" s="6" t="str">
        <f t="shared" si="41"/>
        <v>PP</v>
      </c>
      <c r="D332" t="s">
        <v>1327</v>
      </c>
      <c r="E332">
        <f>$C$285*E309</f>
        <v>0</v>
      </c>
      <c r="F332" t="str">
        <f t="shared" si="45"/>
        <v>kg ww</v>
      </c>
      <c r="G332" s="32" t="str">
        <f t="shared" si="50"/>
        <v>ash_nonrec_mass * other_PP_INC_tot_mass_pyrolysis</v>
      </c>
      <c r="H332" s="220"/>
      <c r="I332" s="6" t="str">
        <f t="shared" si="43"/>
        <v>PP</v>
      </c>
      <c r="J332" t="s">
        <v>1328</v>
      </c>
      <c r="K332" s="33">
        <f t="shared" si="47"/>
        <v>0</v>
      </c>
      <c r="L332" t="str">
        <f t="shared" si="46"/>
        <v>kg ww</v>
      </c>
      <c r="M332" t="str">
        <f t="shared" si="44"/>
        <v>other_PP_INC_tot_mass_pyrolysis - other_PP_INC_ASH_mass_pyrolysis</v>
      </c>
      <c r="N332" s="12"/>
      <c r="AD332" s="2"/>
      <c r="AE332" s="2"/>
      <c r="AF332" s="2"/>
      <c r="AG332" s="2"/>
      <c r="AH332" s="2"/>
      <c r="AI332" s="2"/>
      <c r="AJ332" s="2"/>
      <c r="AK332" s="2"/>
      <c r="AL332" s="2"/>
      <c r="AM332" s="2"/>
      <c r="AN332" s="2"/>
      <c r="AO332" s="2"/>
    </row>
    <row r="333" spans="1:42" x14ac:dyDescent="0.2">
      <c r="A333" s="12"/>
      <c r="B333" s="220"/>
      <c r="C333" s="6" t="str">
        <f t="shared" si="41"/>
        <v>PS</v>
      </c>
      <c r="D333" t="s">
        <v>1329</v>
      </c>
      <c r="E333">
        <f>$C$285*E310</f>
        <v>0</v>
      </c>
      <c r="F333" t="str">
        <f t="shared" si="45"/>
        <v>kg ww</v>
      </c>
      <c r="G333" s="32" t="str">
        <f t="shared" si="50"/>
        <v>ash_nonrec_mass * other_PS_INC_tot_mass_pyrolysis</v>
      </c>
      <c r="H333" s="220"/>
      <c r="I333" s="6" t="str">
        <f t="shared" si="43"/>
        <v>PS</v>
      </c>
      <c r="J333" t="s">
        <v>1330</v>
      </c>
      <c r="K333" s="33">
        <f t="shared" si="47"/>
        <v>0</v>
      </c>
      <c r="L333" t="str">
        <f t="shared" si="46"/>
        <v>kg ww</v>
      </c>
      <c r="M333" t="str">
        <f t="shared" si="44"/>
        <v>other_PS_INC_tot_mass_pyrolysis - other_PS_INC_ASH_mass_pyrolysis</v>
      </c>
      <c r="N333" s="12"/>
      <c r="AD333" s="2"/>
      <c r="AE333" s="2"/>
      <c r="AF333" s="2"/>
      <c r="AG333" s="2"/>
      <c r="AH333" s="2"/>
      <c r="AI333" s="2"/>
      <c r="AJ333" s="2"/>
      <c r="AK333" s="2"/>
      <c r="AL333" s="2"/>
      <c r="AM333" s="2"/>
      <c r="AN333" s="2"/>
      <c r="AO333" s="2"/>
    </row>
    <row r="334" spans="1:42" x14ac:dyDescent="0.2">
      <c r="A334" s="12"/>
      <c r="B334" s="227"/>
      <c r="C334" s="60" t="str">
        <f t="shared" si="41"/>
        <v>Other</v>
      </c>
      <c r="D334" s="44" t="s">
        <v>1331</v>
      </c>
      <c r="E334" s="44">
        <f>$C$285*E311</f>
        <v>5.1094999999999962</v>
      </c>
      <c r="F334" s="44" t="str">
        <f t="shared" si="45"/>
        <v>kg ww</v>
      </c>
      <c r="G334" s="32" t="str">
        <f t="shared" si="50"/>
        <v>ash_nonrec_mass * other_Oth_INC_tot_mass_pyrolysis</v>
      </c>
      <c r="H334" s="220"/>
      <c r="I334" s="6" t="str">
        <f t="shared" si="43"/>
        <v>Other</v>
      </c>
      <c r="J334" t="s">
        <v>1332</v>
      </c>
      <c r="K334" s="33">
        <f t="shared" si="47"/>
        <v>94.890499999999932</v>
      </c>
      <c r="L334" t="str">
        <f t="shared" si="46"/>
        <v>kg ww</v>
      </c>
      <c r="M334" t="str">
        <f t="shared" si="44"/>
        <v>other_Oth_INC_tot_mass_pyrolysis - other_Oth_INC_ASH_mass_pyrolysis</v>
      </c>
      <c r="N334" s="12"/>
      <c r="AD334" s="2"/>
      <c r="AE334" s="2"/>
      <c r="AF334" s="2"/>
      <c r="AG334" s="2"/>
      <c r="AH334" s="2"/>
      <c r="AI334" s="2"/>
      <c r="AJ334" s="2"/>
      <c r="AK334" s="2"/>
      <c r="AL334" s="2"/>
      <c r="AM334" s="2"/>
      <c r="AN334" s="2"/>
      <c r="AO334" s="2"/>
    </row>
    <row r="335" spans="1:42" ht="25" customHeight="1" x14ac:dyDescent="0.2">
      <c r="A335" s="12"/>
      <c r="B335" s="214" t="s">
        <v>166</v>
      </c>
      <c r="C335" s="214"/>
      <c r="D335" s="214"/>
      <c r="E335" s="214"/>
      <c r="F335" s="214"/>
      <c r="G335" s="214"/>
      <c r="H335" s="214"/>
      <c r="I335" s="214"/>
      <c r="J335" s="214"/>
      <c r="K335" s="214"/>
      <c r="L335" s="214"/>
      <c r="M335" s="214"/>
      <c r="N335" s="12"/>
      <c r="O335" s="2"/>
      <c r="AB335" s="2"/>
      <c r="AC335" s="2"/>
      <c r="AD335" s="66"/>
      <c r="AE335" s="6"/>
      <c r="AG335" s="33"/>
      <c r="AJ335" s="66"/>
      <c r="AK335" s="6"/>
      <c r="AM335" s="33"/>
      <c r="AP335" s="2"/>
    </row>
    <row r="336" spans="1:42" x14ac:dyDescent="0.2">
      <c r="A336" s="12"/>
      <c r="B336" s="2" t="str">
        <f>B271</f>
        <v>Patameter</v>
      </c>
      <c r="C336" s="2" t="str">
        <f>C271</f>
        <v>Value</v>
      </c>
      <c r="D336" s="2" t="str">
        <f>D271</f>
        <v>Unit</v>
      </c>
      <c r="E336" s="2" t="str">
        <f>E271</f>
        <v>Description</v>
      </c>
      <c r="F336" s="2"/>
      <c r="G336" s="1"/>
      <c r="H336" s="2" t="str">
        <f>B336</f>
        <v>Patameter</v>
      </c>
      <c r="I336" s="2" t="str">
        <f>C336</f>
        <v>Value</v>
      </c>
      <c r="J336" s="2" t="str">
        <f t="shared" ref="J336:K336" si="51">D336</f>
        <v>Unit</v>
      </c>
      <c r="K336" s="2" t="str">
        <f t="shared" si="51"/>
        <v>Description</v>
      </c>
      <c r="L336" s="2"/>
      <c r="M336" s="2"/>
      <c r="N336" s="12"/>
      <c r="AD336" s="66"/>
      <c r="AE336" s="6"/>
      <c r="AG336" s="33"/>
      <c r="AJ336" s="66"/>
      <c r="AK336" s="6"/>
      <c r="AM336" s="33"/>
    </row>
    <row r="337" spans="1:42" x14ac:dyDescent="0.2">
      <c r="A337" s="12"/>
      <c r="B337" t="s">
        <v>1333</v>
      </c>
      <c r="C337">
        <f>SUM(E315:E319)</f>
        <v>3.9349982680511877</v>
      </c>
      <c r="D337" t="s">
        <v>126</v>
      </c>
      <c r="E337" t="s">
        <v>1202</v>
      </c>
      <c r="G337" s="32"/>
      <c r="H337" t="s">
        <v>1334</v>
      </c>
      <c r="I337" s="33">
        <f>SUM(K315:K319)</f>
        <v>68.141167462348818</v>
      </c>
      <c r="J337" t="s">
        <v>10</v>
      </c>
      <c r="K337" t="s">
        <v>1207</v>
      </c>
      <c r="N337" s="12"/>
      <c r="AD337" s="66"/>
      <c r="AE337" s="6"/>
      <c r="AG337" s="33"/>
      <c r="AJ337" s="66"/>
      <c r="AK337" s="6"/>
      <c r="AM337" s="33"/>
    </row>
    <row r="338" spans="1:42" x14ac:dyDescent="0.2">
      <c r="A338" s="12"/>
      <c r="B338" t="s">
        <v>1335</v>
      </c>
      <c r="C338">
        <f>SUM(E320:E324)</f>
        <v>1.1323074352108287</v>
      </c>
      <c r="D338" t="str">
        <f>D337</f>
        <v xml:space="preserve">kg </v>
      </c>
      <c r="E338" t="s">
        <v>1203</v>
      </c>
      <c r="G338" s="32"/>
      <c r="H338" t="s">
        <v>1336</v>
      </c>
      <c r="I338" s="33">
        <f>SUM(K320:K324)</f>
        <v>52.03765101758917</v>
      </c>
      <c r="J338" t="str">
        <f>J337</f>
        <v>kg ww</v>
      </c>
      <c r="K338" t="s">
        <v>1208</v>
      </c>
      <c r="N338" s="12"/>
      <c r="AD338" s="66"/>
      <c r="AE338" s="6"/>
      <c r="AG338" s="33"/>
      <c r="AJ338" s="66"/>
      <c r="AK338" s="6"/>
      <c r="AM338" s="33"/>
    </row>
    <row r="339" spans="1:42" x14ac:dyDescent="0.2">
      <c r="A339" s="12"/>
      <c r="B339" t="s">
        <v>1337</v>
      </c>
      <c r="C339">
        <f>SUM(E325:E329)</f>
        <v>4.757331691393512</v>
      </c>
      <c r="D339" t="str">
        <f t="shared" ref="D339" si="52">D338</f>
        <v xml:space="preserve">kg </v>
      </c>
      <c r="E339" t="s">
        <v>1204</v>
      </c>
      <c r="G339" s="32"/>
      <c r="H339" t="s">
        <v>1338</v>
      </c>
      <c r="I339" s="33">
        <f>SUM(K325:K329)</f>
        <v>121.12597812860648</v>
      </c>
      <c r="J339" t="str">
        <f t="shared" ref="J339:J340" si="53">J338</f>
        <v>kg ww</v>
      </c>
      <c r="K339" t="s">
        <v>1209</v>
      </c>
      <c r="N339" s="12"/>
      <c r="AD339" s="66"/>
      <c r="AE339" s="6"/>
      <c r="AG339" s="33"/>
      <c r="AJ339" s="66"/>
      <c r="AK339" s="6"/>
      <c r="AM339" s="33"/>
    </row>
    <row r="340" spans="1:42" ht="16" thickBot="1" x14ac:dyDescent="0.25">
      <c r="A340" s="12"/>
      <c r="B340" s="8" t="s">
        <v>1339</v>
      </c>
      <c r="C340" s="8">
        <f>SUM(E330:E334)</f>
        <v>5.1094999999999962</v>
      </c>
      <c r="D340" s="8" t="str">
        <f>D339</f>
        <v xml:space="preserve">kg </v>
      </c>
      <c r="E340" s="8" t="s">
        <v>1205</v>
      </c>
      <c r="F340" s="8"/>
      <c r="G340" s="87"/>
      <c r="H340" s="8" t="s">
        <v>1340</v>
      </c>
      <c r="I340" s="34">
        <f>SUM(K330:K334)</f>
        <v>94.890499999999932</v>
      </c>
      <c r="J340" s="8" t="str">
        <f t="shared" si="53"/>
        <v>kg ww</v>
      </c>
      <c r="K340" s="8" t="s">
        <v>1210</v>
      </c>
      <c r="L340" s="8"/>
      <c r="M340" s="8"/>
      <c r="N340" s="12"/>
      <c r="AD340" s="66"/>
      <c r="AE340" s="6"/>
      <c r="AG340" s="33"/>
      <c r="AJ340" s="66"/>
      <c r="AK340" s="6"/>
      <c r="AM340" s="33"/>
    </row>
    <row r="341" spans="1:42" s="2" customFormat="1" ht="16" thickTop="1" x14ac:dyDescent="0.2">
      <c r="A341" s="11"/>
      <c r="B341" s="44" t="s">
        <v>1341</v>
      </c>
      <c r="C341" s="44">
        <f>SUM(C337:C340)</f>
        <v>14.934137394655526</v>
      </c>
      <c r="D341" s="44" t="str">
        <f>D339</f>
        <v xml:space="preserve">kg </v>
      </c>
      <c r="E341" s="44" t="s">
        <v>2568</v>
      </c>
      <c r="F341" s="44"/>
      <c r="G341" s="61"/>
      <c r="H341" s="44" t="s">
        <v>1342</v>
      </c>
      <c r="I341" s="62">
        <f>SUM(I337:I340)</f>
        <v>336.19529660854437</v>
      </c>
      <c r="J341" s="44" t="str">
        <f>J339</f>
        <v>kg ww</v>
      </c>
      <c r="K341" s="44" t="s">
        <v>2569</v>
      </c>
      <c r="L341" s="44"/>
      <c r="M341" s="44"/>
      <c r="N341" s="11"/>
      <c r="O341"/>
      <c r="P341"/>
      <c r="Q341"/>
      <c r="R341"/>
      <c r="S341"/>
      <c r="T341"/>
      <c r="U341"/>
      <c r="V341"/>
      <c r="W341"/>
      <c r="X341"/>
      <c r="Y341"/>
      <c r="Z341"/>
      <c r="AA341"/>
      <c r="AB341"/>
      <c r="AC341"/>
      <c r="AD341" s="66"/>
      <c r="AE341" s="6"/>
      <c r="AF341"/>
      <c r="AG341" s="33"/>
      <c r="AH341"/>
      <c r="AI341"/>
      <c r="AJ341" s="66"/>
      <c r="AK341" s="6"/>
      <c r="AL341"/>
      <c r="AM341" s="33"/>
      <c r="AN341"/>
      <c r="AO341"/>
      <c r="AP341"/>
    </row>
    <row r="342" spans="1:42" x14ac:dyDescent="0.2">
      <c r="A342" s="12"/>
      <c r="B342" s="125" t="s">
        <v>2704</v>
      </c>
      <c r="C342" s="125" t="str">
        <f>IF(C341+I341=I175+I140+I95+I212+I275,"true")</f>
        <v>true</v>
      </c>
      <c r="D342" s="125"/>
      <c r="E342" s="125"/>
      <c r="F342" s="125"/>
      <c r="G342" s="125"/>
      <c r="H342" s="125"/>
      <c r="I342" s="125"/>
      <c r="J342" s="125"/>
      <c r="K342" s="125"/>
      <c r="L342" s="125"/>
      <c r="M342" s="125"/>
      <c r="N342" s="12"/>
      <c r="AD342" s="66"/>
      <c r="AE342" s="6"/>
      <c r="AG342" s="33"/>
      <c r="AJ342" s="66"/>
      <c r="AK342" s="6"/>
      <c r="AM342" s="33"/>
    </row>
    <row r="343" spans="1:42" x14ac:dyDescent="0.2">
      <c r="A343" s="12"/>
      <c r="B343" s="12"/>
      <c r="C343" s="12"/>
      <c r="D343" s="12"/>
      <c r="E343" s="12"/>
      <c r="F343" s="12"/>
      <c r="G343" s="12"/>
      <c r="H343" s="12"/>
      <c r="I343" s="12"/>
      <c r="J343" s="12"/>
      <c r="K343" s="12"/>
      <c r="L343" s="12"/>
      <c r="M343" s="12"/>
      <c r="N343" s="12"/>
      <c r="AD343" s="66"/>
      <c r="AE343" s="6"/>
      <c r="AG343" s="33"/>
      <c r="AJ343" s="66"/>
      <c r="AK343" s="6"/>
      <c r="AM343" s="33"/>
    </row>
    <row r="344" spans="1:42" x14ac:dyDescent="0.2">
      <c r="A344" s="12"/>
      <c r="B344" s="12"/>
      <c r="C344" s="12"/>
      <c r="D344" s="12"/>
      <c r="E344" s="12"/>
      <c r="F344" s="12"/>
      <c r="G344" s="12"/>
      <c r="H344" s="12"/>
      <c r="I344" s="12"/>
      <c r="J344" s="12"/>
      <c r="K344" s="12"/>
      <c r="L344" s="12"/>
      <c r="M344" s="12"/>
      <c r="N344" s="12"/>
      <c r="AD344" s="66"/>
      <c r="AE344" s="6"/>
      <c r="AG344" s="33"/>
      <c r="AJ344" s="66"/>
      <c r="AK344" s="6"/>
      <c r="AM344" s="33"/>
    </row>
    <row r="345" spans="1:42" x14ac:dyDescent="0.2">
      <c r="A345" s="12"/>
      <c r="B345" s="12"/>
      <c r="C345" s="12"/>
      <c r="D345" s="12"/>
      <c r="E345" s="12"/>
      <c r="F345" s="12"/>
      <c r="G345" s="12"/>
      <c r="H345" s="12"/>
      <c r="I345" s="12"/>
      <c r="J345" s="12"/>
      <c r="K345" s="12"/>
      <c r="L345" s="12"/>
      <c r="M345" s="12"/>
      <c r="N345" s="12"/>
      <c r="AD345" s="66"/>
      <c r="AE345" s="6"/>
      <c r="AG345" s="33"/>
      <c r="AJ345" s="66"/>
      <c r="AK345" s="6"/>
      <c r="AM345" s="33"/>
    </row>
    <row r="346" spans="1:42" ht="25" customHeight="1" x14ac:dyDescent="0.2">
      <c r="A346" s="12"/>
      <c r="B346" s="214" t="s">
        <v>2919</v>
      </c>
      <c r="C346" s="214"/>
      <c r="D346" s="214"/>
      <c r="E346" s="214"/>
      <c r="F346" s="214"/>
      <c r="G346" s="214"/>
      <c r="H346" s="214"/>
      <c r="I346" s="214"/>
      <c r="J346" s="214"/>
      <c r="K346" s="214"/>
      <c r="L346" s="214"/>
      <c r="M346" s="214"/>
      <c r="N346" s="12"/>
      <c r="O346" s="2"/>
      <c r="AB346" s="2"/>
      <c r="AC346" s="2"/>
      <c r="AD346" s="66"/>
      <c r="AE346" s="6"/>
      <c r="AG346" s="33"/>
      <c r="AJ346" s="66"/>
      <c r="AK346" s="6"/>
      <c r="AM346" s="33"/>
      <c r="AP346" s="2"/>
    </row>
    <row r="347" spans="1:42" x14ac:dyDescent="0.2">
      <c r="A347" s="12"/>
      <c r="B347" s="114" t="str">
        <f t="shared" ref="B347:H347" si="54">B281</f>
        <v>Parameters</v>
      </c>
      <c r="C347" s="114" t="str">
        <f t="shared" si="54"/>
        <v>Value (average)</v>
      </c>
      <c r="D347" s="114" t="str">
        <f t="shared" si="54"/>
        <v>Min</v>
      </c>
      <c r="E347" s="114" t="str">
        <f t="shared" si="54"/>
        <v>Max</v>
      </c>
      <c r="F347" s="114" t="str">
        <f t="shared" si="54"/>
        <v>Unit</v>
      </c>
      <c r="G347" s="114" t="str">
        <f t="shared" si="54"/>
        <v>Description</v>
      </c>
      <c r="H347" s="114" t="str">
        <f t="shared" si="54"/>
        <v>Reference</v>
      </c>
      <c r="I347" s="106"/>
      <c r="J347" s="106"/>
      <c r="K347" s="106"/>
      <c r="L347" s="106"/>
      <c r="M347" s="106"/>
      <c r="N347" s="12"/>
      <c r="AD347" s="66"/>
      <c r="AE347" s="6"/>
      <c r="AG347" s="33"/>
      <c r="AJ347" s="66"/>
      <c r="AK347" s="6"/>
      <c r="AM347" s="33"/>
    </row>
    <row r="348" spans="1:42" x14ac:dyDescent="0.2">
      <c r="A348" s="12"/>
      <c r="B348" s="106" t="str">
        <f>'info, structure, parameters'!A188</f>
        <v>CC_efficiency</v>
      </c>
      <c r="C348" s="106">
        <f>'info, structure, parameters'!B188</f>
        <v>0.9</v>
      </c>
      <c r="D348" s="106" t="str">
        <f>'info, structure, parameters'!C188</f>
        <v>%</v>
      </c>
      <c r="E348" s="106">
        <f>'info, structure, parameters'!D188</f>
        <v>0.85</v>
      </c>
      <c r="F348" s="106">
        <f>'info, structure, parameters'!E188</f>
        <v>0.9</v>
      </c>
      <c r="G348" s="106" t="str">
        <f>'info, structure, parameters'!F188</f>
        <v>Carbon capture efficiency</v>
      </c>
      <c r="H348" s="106">
        <f>'info, structure, parameters'!G188</f>
        <v>4</v>
      </c>
      <c r="I348" s="106"/>
      <c r="J348" s="106"/>
      <c r="K348" s="106"/>
      <c r="L348" s="106"/>
      <c r="M348" s="106"/>
      <c r="N348" s="12"/>
      <c r="AD348" s="66"/>
      <c r="AE348" s="6"/>
      <c r="AG348" s="33"/>
      <c r="AJ348" s="66"/>
      <c r="AK348" s="6"/>
      <c r="AM348" s="33"/>
    </row>
    <row r="349" spans="1:42" ht="25" customHeight="1" x14ac:dyDescent="0.2">
      <c r="A349" s="12"/>
      <c r="B349" s="214" t="s">
        <v>2921</v>
      </c>
      <c r="C349" s="214"/>
      <c r="D349" s="214"/>
      <c r="E349" s="214"/>
      <c r="F349" s="214"/>
      <c r="G349" s="214"/>
      <c r="H349" s="214"/>
      <c r="I349" s="214"/>
      <c r="J349" s="214"/>
      <c r="K349" s="214"/>
      <c r="L349" s="214"/>
      <c r="M349" s="214"/>
      <c r="N349" s="12"/>
      <c r="AD349" s="66"/>
      <c r="AE349" s="6"/>
      <c r="AG349" s="33"/>
      <c r="AJ349" s="66"/>
      <c r="AK349" s="6"/>
      <c r="AM349" s="33"/>
    </row>
    <row r="350" spans="1:42" ht="25" customHeight="1" x14ac:dyDescent="0.2">
      <c r="A350" s="12"/>
      <c r="B350" s="214" t="s">
        <v>147</v>
      </c>
      <c r="C350" s="214"/>
      <c r="D350" s="214"/>
      <c r="E350" s="214"/>
      <c r="F350" s="214"/>
      <c r="G350" s="223"/>
      <c r="H350" s="214" t="s">
        <v>148</v>
      </c>
      <c r="I350" s="214"/>
      <c r="J350" s="214"/>
      <c r="K350" s="214"/>
      <c r="L350" s="214"/>
      <c r="M350" s="214"/>
      <c r="N350" s="12"/>
      <c r="AD350" s="66"/>
      <c r="AE350" s="6"/>
      <c r="AG350" s="33"/>
      <c r="AJ350" s="66"/>
      <c r="AK350" s="6"/>
      <c r="AM350" s="33"/>
    </row>
    <row r="351" spans="1:42" x14ac:dyDescent="0.2">
      <c r="A351" s="12"/>
      <c r="B351" s="2" t="s">
        <v>21</v>
      </c>
      <c r="C351" s="2" t="s">
        <v>20</v>
      </c>
      <c r="D351" s="2" t="s">
        <v>99</v>
      </c>
      <c r="E351" s="2" t="s">
        <v>3</v>
      </c>
      <c r="F351" s="2" t="s">
        <v>4</v>
      </c>
      <c r="G351" s="4" t="s">
        <v>43</v>
      </c>
      <c r="H351" s="2" t="str">
        <f>B351</f>
        <v>Fraction</v>
      </c>
      <c r="I351" s="2" t="str">
        <f t="shared" ref="I351:L351" si="55">C351</f>
        <v>Sub-fraction</v>
      </c>
      <c r="J351" s="2" t="str">
        <f t="shared" si="55"/>
        <v>Name</v>
      </c>
      <c r="K351" s="2" t="str">
        <f t="shared" si="55"/>
        <v>Value</v>
      </c>
      <c r="L351" s="2" t="str">
        <f t="shared" si="55"/>
        <v>Unit</v>
      </c>
      <c r="M351" s="2" t="str">
        <f>G351</f>
        <v>Equation</v>
      </c>
      <c r="N351" s="12"/>
      <c r="AD351" s="66"/>
      <c r="AE351" s="6"/>
      <c r="AG351" s="33"/>
      <c r="AJ351" s="66"/>
      <c r="AK351" s="6"/>
      <c r="AM351" s="33"/>
    </row>
    <row r="352" spans="1:42" s="2" customFormat="1" x14ac:dyDescent="0.2">
      <c r="A352" s="11"/>
      <c r="B352" s="220" t="s">
        <v>14</v>
      </c>
      <c r="C352" s="6" t="str">
        <f>C315</f>
        <v>PET</v>
      </c>
      <c r="D352" t="s">
        <v>3003</v>
      </c>
      <c r="E352" s="33">
        <f>$C$348*K604</f>
        <v>33.251587482239998</v>
      </c>
      <c r="F352" t="s">
        <v>10</v>
      </c>
      <c r="G352" s="32" t="str">
        <f>$B$348&amp;" * "&amp;D315</f>
        <v>CC_efficiency * bottle_PET_INC_ASH_mass_pyrolysis</v>
      </c>
      <c r="H352" s="220" t="str">
        <f>B352</f>
        <v>Bottle</v>
      </c>
      <c r="I352" s="6" t="str">
        <f>C352</f>
        <v>PET</v>
      </c>
      <c r="J352" t="s">
        <v>1343</v>
      </c>
      <c r="K352" s="33">
        <f>K315-E352</f>
        <v>17.564767951184997</v>
      </c>
      <c r="L352" t="s">
        <v>10</v>
      </c>
      <c r="M352" t="str">
        <f>D315&amp;" - "&amp;D352</f>
        <v>bottle_PET_INC_ASH_mass_pyrolysis - bottle_PET_AIR_CC_mass_pyrolysis</v>
      </c>
      <c r="N352" s="11"/>
      <c r="O352"/>
      <c r="P352"/>
      <c r="Q352"/>
      <c r="R352"/>
      <c r="S352"/>
      <c r="T352"/>
      <c r="U352"/>
      <c r="V352"/>
      <c r="W352"/>
      <c r="X352"/>
      <c r="Y352"/>
      <c r="Z352"/>
      <c r="AA352"/>
      <c r="AB352"/>
      <c r="AC352"/>
      <c r="AD352" s="66"/>
      <c r="AE352" s="6"/>
      <c r="AF352"/>
      <c r="AG352" s="33"/>
      <c r="AH352"/>
      <c r="AI352"/>
      <c r="AJ352" s="66"/>
      <c r="AK352" s="6"/>
      <c r="AL352"/>
      <c r="AM352" s="33"/>
      <c r="AN352"/>
      <c r="AO352"/>
      <c r="AP352"/>
    </row>
    <row r="353" spans="1:42" x14ac:dyDescent="0.2">
      <c r="A353" s="12"/>
      <c r="B353" s="220"/>
      <c r="C353" s="6" t="str">
        <f t="shared" ref="C353:C371" si="56">C316</f>
        <v>PE</v>
      </c>
      <c r="D353" t="s">
        <v>3004</v>
      </c>
      <c r="E353" s="33">
        <f t="shared" ref="E353:E371" si="57">$C$348*K605</f>
        <v>11.33645846656297</v>
      </c>
      <c r="F353" t="str">
        <f>F352</f>
        <v>kg ww</v>
      </c>
      <c r="G353" s="32" t="str">
        <f t="shared" ref="G353:G371" si="58">$B$348&amp;" * "&amp;D316</f>
        <v>CC_efficiency * bottle_PE_INC_ASH_mass_pyrolysis</v>
      </c>
      <c r="H353" s="220"/>
      <c r="I353" s="6" t="str">
        <f t="shared" ref="I353:I371" si="59">C353</f>
        <v>PE</v>
      </c>
      <c r="J353" t="s">
        <v>1344</v>
      </c>
      <c r="K353" s="33">
        <f t="shared" ref="K353:K371" si="60">K316-E353</f>
        <v>5.9883535623608459</v>
      </c>
      <c r="L353" t="str">
        <f>L352</f>
        <v>kg ww</v>
      </c>
      <c r="M353" t="str">
        <f t="shared" ref="M353:M371" si="61">D316&amp;" - "&amp;D353</f>
        <v>bottle_PE_INC_ASH_mass_pyrolysis - bottle_PE_AIR_CC_mass_pyrolysis</v>
      </c>
      <c r="N353" s="12"/>
      <c r="AD353" s="66"/>
      <c r="AE353" s="6"/>
      <c r="AG353" s="33"/>
      <c r="AJ353" s="66"/>
      <c r="AK353" s="6"/>
      <c r="AM353" s="33"/>
    </row>
    <row r="354" spans="1:42" x14ac:dyDescent="0.2">
      <c r="A354" s="12"/>
      <c r="B354" s="220"/>
      <c r="C354" s="6" t="str">
        <f t="shared" si="56"/>
        <v>PP</v>
      </c>
      <c r="D354" t="s">
        <v>3005</v>
      </c>
      <c r="E354" s="33">
        <f t="shared" si="57"/>
        <v>0</v>
      </c>
      <c r="F354" t="str">
        <f t="shared" ref="F354:F371" si="62">F353</f>
        <v>kg ww</v>
      </c>
      <c r="G354" s="32" t="str">
        <f t="shared" si="58"/>
        <v>CC_efficiency * bottle_PP_INC_ASH_mass_pyrolysis</v>
      </c>
      <c r="H354" s="220"/>
      <c r="I354" s="6" t="str">
        <f t="shared" si="59"/>
        <v>PP</v>
      </c>
      <c r="J354" t="s">
        <v>1345</v>
      </c>
      <c r="K354" s="33">
        <f t="shared" si="60"/>
        <v>0</v>
      </c>
      <c r="L354" t="str">
        <f t="shared" ref="L354:L371" si="63">L353</f>
        <v>kg ww</v>
      </c>
      <c r="M354" t="str">
        <f t="shared" si="61"/>
        <v>bottle_PP_INC_ASH_mass_pyrolysis - bottle_PP_AIR_CC_mass_pyrolysis</v>
      </c>
      <c r="N354" s="12"/>
      <c r="AD354" s="66"/>
      <c r="AE354" s="6"/>
      <c r="AG354" s="33"/>
      <c r="AJ354" s="66"/>
      <c r="AK354" s="6"/>
      <c r="AM354" s="33"/>
    </row>
    <row r="355" spans="1:42" x14ac:dyDescent="0.2">
      <c r="A355" s="12"/>
      <c r="B355" s="220"/>
      <c r="C355" s="6" t="str">
        <f t="shared" si="56"/>
        <v>PS</v>
      </c>
      <c r="D355" t="s">
        <v>3006</v>
      </c>
      <c r="E355" s="33">
        <f t="shared" si="57"/>
        <v>0</v>
      </c>
      <c r="F355" t="str">
        <f t="shared" si="62"/>
        <v>kg ww</v>
      </c>
      <c r="G355" s="32" t="str">
        <f t="shared" si="58"/>
        <v>CC_efficiency * bottle_PS_INC_ASH_mass_pyrolysis</v>
      </c>
      <c r="H355" s="220"/>
      <c r="I355" s="6" t="str">
        <f t="shared" si="59"/>
        <v>PS</v>
      </c>
      <c r="J355" t="s">
        <v>1346</v>
      </c>
      <c r="K355" s="33">
        <f t="shared" si="60"/>
        <v>0</v>
      </c>
      <c r="L355" t="str">
        <f t="shared" si="63"/>
        <v>kg ww</v>
      </c>
      <c r="M355" t="str">
        <f t="shared" si="61"/>
        <v>bottle_PS_INC_ASH_mass_pyrolysis - bottle_PS_AIR_CC_mass_pyrolysis</v>
      </c>
      <c r="N355" s="12"/>
      <c r="AD355" s="2"/>
      <c r="AE355" s="2"/>
      <c r="AF355" s="2"/>
      <c r="AG355" s="2"/>
      <c r="AH355" s="2"/>
      <c r="AI355" s="2"/>
      <c r="AJ355" s="2"/>
      <c r="AK355" s="2"/>
      <c r="AL355" s="2"/>
      <c r="AM355" s="2"/>
      <c r="AN355" s="2"/>
      <c r="AO355" s="2"/>
    </row>
    <row r="356" spans="1:42" x14ac:dyDescent="0.2">
      <c r="A356" s="12"/>
      <c r="B356" s="220"/>
      <c r="C356" s="6" t="str">
        <f t="shared" si="56"/>
        <v>Other</v>
      </c>
      <c r="D356" t="s">
        <v>3007</v>
      </c>
      <c r="E356" s="33">
        <f t="shared" si="57"/>
        <v>0</v>
      </c>
      <c r="F356" t="str">
        <f t="shared" si="62"/>
        <v>kg ww</v>
      </c>
      <c r="G356" s="32" t="str">
        <f t="shared" si="58"/>
        <v>CC_efficiency * bottle_Oth_INC_ASH_mass_pyrolysis</v>
      </c>
      <c r="H356" s="220"/>
      <c r="I356" s="6" t="str">
        <f t="shared" si="59"/>
        <v>Other</v>
      </c>
      <c r="J356" t="s">
        <v>1347</v>
      </c>
      <c r="K356" s="33">
        <f t="shared" si="60"/>
        <v>0</v>
      </c>
      <c r="L356" t="str">
        <f t="shared" si="63"/>
        <v>kg ww</v>
      </c>
      <c r="M356" t="str">
        <f t="shared" si="61"/>
        <v>bottle_Oth_INC_ASH_mass_pyrolysis - bottle_Oth_AIR_CC_mass_pyrolysis</v>
      </c>
      <c r="N356" s="12"/>
      <c r="O356" s="2"/>
      <c r="AB356" s="2"/>
      <c r="AC356" s="2"/>
      <c r="AD356" s="2"/>
      <c r="AE356" s="2"/>
      <c r="AF356" s="2"/>
      <c r="AG356" s="2"/>
      <c r="AH356" s="2"/>
      <c r="AI356" s="2"/>
      <c r="AJ356" s="2"/>
      <c r="AK356" s="2"/>
      <c r="AL356" s="2"/>
      <c r="AM356" s="2"/>
      <c r="AN356" s="2"/>
      <c r="AO356" s="2"/>
      <c r="AP356" s="2"/>
    </row>
    <row r="357" spans="1:42" x14ac:dyDescent="0.2">
      <c r="A357" s="12"/>
      <c r="B357" s="220" t="s">
        <v>15</v>
      </c>
      <c r="C357" s="6" t="str">
        <f t="shared" si="56"/>
        <v>PET</v>
      </c>
      <c r="D357" t="s">
        <v>3008</v>
      </c>
      <c r="E357" s="33">
        <f t="shared" si="57"/>
        <v>6.4744483399200004</v>
      </c>
      <c r="F357" t="str">
        <f t="shared" si="62"/>
        <v>kg ww</v>
      </c>
      <c r="G357" s="32" t="str">
        <f t="shared" si="58"/>
        <v>CC_efficiency * rigid_PET_INC_ASH_mass_pyrolysis</v>
      </c>
      <c r="H357" s="220" t="s">
        <v>15</v>
      </c>
      <c r="I357" s="6" t="str">
        <f t="shared" si="59"/>
        <v>PET</v>
      </c>
      <c r="J357" t="s">
        <v>1348</v>
      </c>
      <c r="K357" s="33">
        <f t="shared" si="60"/>
        <v>2.6744570779999997</v>
      </c>
      <c r="L357" t="str">
        <f t="shared" si="63"/>
        <v>kg ww</v>
      </c>
      <c r="M357" t="str">
        <f t="shared" si="61"/>
        <v>rigid_PET_INC_ASH_mass_pyrolysis - rigid_PET_AIR_CC_mass_pyrolysis</v>
      </c>
      <c r="N357" s="12"/>
      <c r="AD357" s="2"/>
      <c r="AE357" s="2"/>
      <c r="AF357" s="2"/>
      <c r="AG357" s="2"/>
      <c r="AH357" s="2"/>
      <c r="AI357" s="2"/>
      <c r="AJ357" s="2"/>
      <c r="AK357" s="2"/>
      <c r="AL357" s="2"/>
      <c r="AM357" s="2"/>
      <c r="AN357" s="2"/>
      <c r="AO357" s="2"/>
    </row>
    <row r="358" spans="1:42" x14ac:dyDescent="0.2">
      <c r="A358" s="12"/>
      <c r="B358" s="220"/>
      <c r="C358" s="6" t="str">
        <f t="shared" si="56"/>
        <v>PE</v>
      </c>
      <c r="D358" t="s">
        <v>3009</v>
      </c>
      <c r="E358" s="33">
        <f t="shared" si="57"/>
        <v>5.4394983149991241</v>
      </c>
      <c r="F358" t="str">
        <f t="shared" si="62"/>
        <v>kg ww</v>
      </c>
      <c r="G358" s="32" t="str">
        <f t="shared" si="58"/>
        <v>CC_efficiency * rigid_PE_INC_ASH_mass_pyrolysis</v>
      </c>
      <c r="H358" s="220"/>
      <c r="I358" s="6" t="str">
        <f t="shared" si="59"/>
        <v>PE</v>
      </c>
      <c r="J358" t="s">
        <v>1349</v>
      </c>
      <c r="K358" s="33">
        <f t="shared" si="60"/>
        <v>2.2469412072717594</v>
      </c>
      <c r="L358" t="str">
        <f t="shared" si="63"/>
        <v>kg ww</v>
      </c>
      <c r="M358" t="str">
        <f t="shared" si="61"/>
        <v>rigid_PE_INC_ASH_mass_pyrolysis - rigid_PE_AIR_CC_mass_pyrolysis</v>
      </c>
      <c r="N358" s="12"/>
      <c r="AE358" s="33"/>
      <c r="AK358" s="33"/>
    </row>
    <row r="359" spans="1:42" x14ac:dyDescent="0.2">
      <c r="A359" s="12"/>
      <c r="B359" s="220"/>
      <c r="C359" s="6" t="str">
        <f t="shared" si="56"/>
        <v>PP</v>
      </c>
      <c r="D359" t="s">
        <v>3010</v>
      </c>
      <c r="E359" s="33">
        <f t="shared" si="57"/>
        <v>14.735789356869509</v>
      </c>
      <c r="F359" t="str">
        <f t="shared" si="62"/>
        <v>kg ww</v>
      </c>
      <c r="G359" s="32" t="str">
        <f t="shared" si="58"/>
        <v>CC_efficiency * rigid_PP_INC_ASH_mass_pyrolysis</v>
      </c>
      <c r="H359" s="220"/>
      <c r="I359" s="6" t="str">
        <f t="shared" si="59"/>
        <v>PP</v>
      </c>
      <c r="J359" t="s">
        <v>1350</v>
      </c>
      <c r="K359" s="33">
        <f t="shared" si="60"/>
        <v>6.0870415634335995</v>
      </c>
      <c r="L359" t="str">
        <f t="shared" si="63"/>
        <v>kg ww</v>
      </c>
      <c r="M359" t="str">
        <f t="shared" si="61"/>
        <v>rigid_PP_INC_ASH_mass_pyrolysis - rigid_PP_AIR_CC_mass_pyrolysis</v>
      </c>
      <c r="N359" s="12"/>
      <c r="AE359" s="33"/>
    </row>
    <row r="360" spans="1:42" x14ac:dyDescent="0.2">
      <c r="A360" s="12"/>
      <c r="B360" s="220"/>
      <c r="C360" s="6" t="str">
        <f t="shared" si="56"/>
        <v>PS</v>
      </c>
      <c r="D360" t="s">
        <v>3011</v>
      </c>
      <c r="E360" s="33">
        <f t="shared" si="57"/>
        <v>1.6959983154090768</v>
      </c>
      <c r="F360" t="str">
        <f t="shared" si="62"/>
        <v>kg ww</v>
      </c>
      <c r="G360" s="32" t="str">
        <f t="shared" si="58"/>
        <v>CC_efficiency * rigid_PS_INC_ASH_mass_pyrolysis</v>
      </c>
      <c r="H360" s="220"/>
      <c r="I360" s="6" t="str">
        <f t="shared" si="59"/>
        <v>PS</v>
      </c>
      <c r="J360" t="s">
        <v>1351</v>
      </c>
      <c r="K360" s="33">
        <f t="shared" si="60"/>
        <v>0.70058087744011988</v>
      </c>
      <c r="L360" t="str">
        <f t="shared" si="63"/>
        <v>kg ww</v>
      </c>
      <c r="M360" t="str">
        <f t="shared" si="61"/>
        <v>rigid_PS_INC_ASH_mass_pyrolysis - rigid_PS_AIR_CC_mass_pyrolysis</v>
      </c>
      <c r="N360" s="12"/>
    </row>
    <row r="361" spans="1:42" x14ac:dyDescent="0.2">
      <c r="A361" s="12"/>
      <c r="B361" s="220"/>
      <c r="C361" s="6" t="str">
        <f t="shared" si="56"/>
        <v>Other</v>
      </c>
      <c r="D361" t="s">
        <v>3012</v>
      </c>
      <c r="E361" s="33">
        <f t="shared" si="57"/>
        <v>8.4799915770453822</v>
      </c>
      <c r="F361" t="str">
        <f t="shared" si="62"/>
        <v>kg ww</v>
      </c>
      <c r="G361" s="32" t="str">
        <f t="shared" si="58"/>
        <v>CC_efficiency * rigid_Oth_INC_ASH_mass_pyrolysis</v>
      </c>
      <c r="H361" s="220"/>
      <c r="I361" s="6" t="str">
        <f t="shared" si="59"/>
        <v>Other</v>
      </c>
      <c r="J361" t="s">
        <v>1352</v>
      </c>
      <c r="K361" s="33">
        <f t="shared" si="60"/>
        <v>3.5029043872005978</v>
      </c>
      <c r="L361" t="str">
        <f t="shared" si="63"/>
        <v>kg ww</v>
      </c>
      <c r="M361" t="str">
        <f t="shared" si="61"/>
        <v>rigid_Oth_INC_ASH_mass_pyrolysis - rigid_Oth_AIR_CC_mass_pyrolysis</v>
      </c>
      <c r="N361" s="12"/>
    </row>
    <row r="362" spans="1:42" s="2" customFormat="1" x14ac:dyDescent="0.2">
      <c r="A362" s="11"/>
      <c r="B362" s="220" t="s">
        <v>42</v>
      </c>
      <c r="C362" s="6" t="str">
        <f t="shared" si="56"/>
        <v>PET</v>
      </c>
      <c r="D362" t="s">
        <v>3013</v>
      </c>
      <c r="E362" s="33">
        <f t="shared" si="57"/>
        <v>0</v>
      </c>
      <c r="F362" t="str">
        <f t="shared" si="62"/>
        <v>kg ww</v>
      </c>
      <c r="G362" s="32" t="str">
        <f t="shared" si="58"/>
        <v>CC_efficiency * soft_PET_INC_ASH_mass_pyrolysis</v>
      </c>
      <c r="H362" s="220" t="s">
        <v>42</v>
      </c>
      <c r="I362" s="6" t="str">
        <f t="shared" si="59"/>
        <v>PET</v>
      </c>
      <c r="J362" t="s">
        <v>1353</v>
      </c>
      <c r="K362" s="33">
        <f t="shared" si="60"/>
        <v>0</v>
      </c>
      <c r="L362" t="str">
        <f t="shared" si="63"/>
        <v>kg ww</v>
      </c>
      <c r="M362" t="str">
        <f t="shared" si="61"/>
        <v>soft_PET_INC_ASH_mass_pyrolysis - soft_PET_AIR_CC_mass_pyrolysis</v>
      </c>
      <c r="N362" s="11"/>
      <c r="O362"/>
      <c r="P362"/>
      <c r="Q362"/>
      <c r="R362"/>
      <c r="S362"/>
      <c r="T362"/>
      <c r="U362"/>
      <c r="V362"/>
      <c r="W362"/>
      <c r="X362"/>
      <c r="Y362"/>
      <c r="Z362"/>
      <c r="AA362"/>
      <c r="AB362"/>
      <c r="AC362"/>
      <c r="AD362"/>
      <c r="AE362" s="33"/>
      <c r="AF362"/>
      <c r="AG362"/>
      <c r="AH362"/>
      <c r="AI362"/>
      <c r="AJ362"/>
      <c r="AK362" s="33"/>
      <c r="AL362"/>
      <c r="AM362"/>
      <c r="AN362"/>
      <c r="AO362"/>
      <c r="AP362"/>
    </row>
    <row r="363" spans="1:42" x14ac:dyDescent="0.2">
      <c r="A363" s="12"/>
      <c r="B363" s="220"/>
      <c r="C363" s="6" t="str">
        <f t="shared" si="56"/>
        <v>PE</v>
      </c>
      <c r="D363" t="s">
        <v>3014</v>
      </c>
      <c r="E363" s="33">
        <f t="shared" si="57"/>
        <v>63.95820281266203</v>
      </c>
      <c r="F363" t="str">
        <f t="shared" si="62"/>
        <v>kg ww</v>
      </c>
      <c r="G363" s="32" t="str">
        <f t="shared" si="58"/>
        <v>CC_efficiency * soft_PE_INC_ASH_mass_pyrolysis</v>
      </c>
      <c r="H363" s="220"/>
      <c r="I363" s="6" t="str">
        <f t="shared" si="59"/>
        <v>PE</v>
      </c>
      <c r="J363" t="s">
        <v>1354</v>
      </c>
      <c r="K363" s="33">
        <f t="shared" si="60"/>
        <v>33.605915646169755</v>
      </c>
      <c r="L363" t="str">
        <f t="shared" si="63"/>
        <v>kg ww</v>
      </c>
      <c r="M363" t="str">
        <f t="shared" si="61"/>
        <v>soft_PE_INC_ASH_mass_pyrolysis - soft_PE_AIR_CC_mass_pyrolysis</v>
      </c>
      <c r="N363" s="12"/>
    </row>
    <row r="364" spans="1:42" x14ac:dyDescent="0.2">
      <c r="A364" s="12"/>
      <c r="B364" s="220"/>
      <c r="C364" s="6" t="str">
        <f t="shared" si="56"/>
        <v>PP</v>
      </c>
      <c r="D364" t="s">
        <v>3015</v>
      </c>
      <c r="E364" s="33">
        <f t="shared" si="57"/>
        <v>0</v>
      </c>
      <c r="F364" t="str">
        <f t="shared" si="62"/>
        <v>kg ww</v>
      </c>
      <c r="G364" s="32" t="str">
        <f t="shared" si="58"/>
        <v>CC_efficiency * soft_PP_INC_ASH_mass_pyrolysis</v>
      </c>
      <c r="H364" s="220"/>
      <c r="I364" s="6" t="str">
        <f t="shared" si="59"/>
        <v>PP</v>
      </c>
      <c r="J364" t="s">
        <v>1355</v>
      </c>
      <c r="K364" s="33">
        <f t="shared" si="60"/>
        <v>0</v>
      </c>
      <c r="L364" t="str">
        <f t="shared" si="63"/>
        <v>kg ww</v>
      </c>
      <c r="M364" t="str">
        <f t="shared" si="61"/>
        <v>soft_PP_INC_ASH_mass_pyrolysis - soft_PP_AIR_CC_mass_pyrolysis</v>
      </c>
      <c r="N364" s="12"/>
    </row>
    <row r="365" spans="1:42" x14ac:dyDescent="0.2">
      <c r="A365" s="12"/>
      <c r="B365" s="220"/>
      <c r="C365" s="6" t="str">
        <f t="shared" si="56"/>
        <v>PS</v>
      </c>
      <c r="D365" t="s">
        <v>3016</v>
      </c>
      <c r="E365" s="33">
        <f t="shared" si="57"/>
        <v>0</v>
      </c>
      <c r="F365" t="str">
        <f t="shared" si="62"/>
        <v>kg ww</v>
      </c>
      <c r="G365" s="32" t="str">
        <f t="shared" si="58"/>
        <v>CC_efficiency * soft_PS_INC_ASH_mass_pyrolysis</v>
      </c>
      <c r="H365" s="220"/>
      <c r="I365" s="6" t="str">
        <f t="shared" si="59"/>
        <v>PS</v>
      </c>
      <c r="J365" t="s">
        <v>1356</v>
      </c>
      <c r="K365" s="33">
        <f t="shared" si="60"/>
        <v>0</v>
      </c>
      <c r="L365" t="str">
        <f t="shared" si="63"/>
        <v>kg ww</v>
      </c>
      <c r="M365" t="str">
        <f t="shared" si="61"/>
        <v>soft_PS_INC_ASH_mass_pyrolysis - soft_PS_AIR_CC_mass_pyrolysis</v>
      </c>
      <c r="N365" s="12"/>
    </row>
    <row r="366" spans="1:42" x14ac:dyDescent="0.2">
      <c r="A366" s="12"/>
      <c r="B366" s="220"/>
      <c r="C366" s="6" t="str">
        <f t="shared" si="56"/>
        <v>Other</v>
      </c>
      <c r="D366" t="s">
        <v>3017</v>
      </c>
      <c r="E366" s="33">
        <f t="shared" si="57"/>
        <v>15.445987963687859</v>
      </c>
      <c r="F366" t="str">
        <f t="shared" si="62"/>
        <v>kg ww</v>
      </c>
      <c r="G366" s="32" t="str">
        <f t="shared" si="58"/>
        <v>CC_efficiency * soft_Oth_INC_ASH_mass_pyrolysis</v>
      </c>
      <c r="H366" s="220"/>
      <c r="I366" s="6" t="str">
        <f t="shared" si="59"/>
        <v>Other</v>
      </c>
      <c r="J366" t="s">
        <v>1357</v>
      </c>
      <c r="K366" s="33">
        <f t="shared" si="60"/>
        <v>8.1158717060868355</v>
      </c>
      <c r="L366" t="str">
        <f t="shared" si="63"/>
        <v>kg ww</v>
      </c>
      <c r="M366" t="str">
        <f t="shared" si="61"/>
        <v>soft_Oth_INC_ASH_mass_pyrolysis - soft_Oth_AIR_CC_mass_pyrolysis</v>
      </c>
      <c r="N366" s="12"/>
      <c r="O366" s="2"/>
      <c r="AB366" s="2"/>
      <c r="AC366" s="2"/>
      <c r="AP366" s="2"/>
    </row>
    <row r="367" spans="1:42" x14ac:dyDescent="0.2">
      <c r="A367" s="12"/>
      <c r="B367" s="220" t="s">
        <v>19</v>
      </c>
      <c r="C367" s="6" t="str">
        <f t="shared" si="56"/>
        <v>PET</v>
      </c>
      <c r="D367" t="s">
        <v>3018</v>
      </c>
      <c r="E367" s="33">
        <f t="shared" si="57"/>
        <v>0</v>
      </c>
      <c r="F367" t="str">
        <f t="shared" si="62"/>
        <v>kg ww</v>
      </c>
      <c r="G367" s="32" t="str">
        <f t="shared" si="58"/>
        <v>CC_efficiency * other_PET_INC_ASH_mass_pyrolysis</v>
      </c>
      <c r="H367" s="220" t="s">
        <v>19</v>
      </c>
      <c r="I367" s="6" t="str">
        <f t="shared" si="59"/>
        <v>PET</v>
      </c>
      <c r="J367" t="s">
        <v>1358</v>
      </c>
      <c r="K367" s="33">
        <f t="shared" si="60"/>
        <v>0</v>
      </c>
      <c r="L367" t="str">
        <f t="shared" si="63"/>
        <v>kg ww</v>
      </c>
      <c r="M367" t="str">
        <f t="shared" si="61"/>
        <v>other_PET_INC_ASH_mass_pyrolysis - other_PET_AIR_CC_mass_pyrolysis</v>
      </c>
      <c r="N367" s="12"/>
      <c r="O367" s="2"/>
      <c r="AB367" s="2"/>
      <c r="AC367" s="2"/>
      <c r="AP367" s="2"/>
    </row>
    <row r="368" spans="1:42" x14ac:dyDescent="0.2">
      <c r="A368" s="12"/>
      <c r="B368" s="220"/>
      <c r="C368" s="6" t="str">
        <f t="shared" si="56"/>
        <v>PE</v>
      </c>
      <c r="D368" t="s">
        <v>3019</v>
      </c>
      <c r="E368" s="33">
        <f t="shared" si="57"/>
        <v>0</v>
      </c>
      <c r="F368" t="str">
        <f t="shared" si="62"/>
        <v>kg ww</v>
      </c>
      <c r="G368" s="32" t="str">
        <f t="shared" si="58"/>
        <v>CC_efficiency * other_PE_INC_ASH_mass_pyrolysis</v>
      </c>
      <c r="H368" s="220"/>
      <c r="I368" s="6" t="str">
        <f t="shared" si="59"/>
        <v>PE</v>
      </c>
      <c r="J368" t="s">
        <v>1359</v>
      </c>
      <c r="K368" s="33">
        <f t="shared" si="60"/>
        <v>0</v>
      </c>
      <c r="L368" t="str">
        <f t="shared" si="63"/>
        <v>kg ww</v>
      </c>
      <c r="M368" t="str">
        <f t="shared" si="61"/>
        <v>other_PE_INC_ASH_mass_pyrolysis - other_PE_AIR_CC_mass_pyrolysis</v>
      </c>
      <c r="N368" s="12"/>
      <c r="O368" s="2"/>
      <c r="AB368" s="2"/>
      <c r="AC368" s="2"/>
      <c r="AP368" s="2"/>
    </row>
    <row r="369" spans="1:42" x14ac:dyDescent="0.2">
      <c r="A369" s="12"/>
      <c r="B369" s="220"/>
      <c r="C369" s="6" t="str">
        <f t="shared" si="56"/>
        <v>PP</v>
      </c>
      <c r="D369" t="s">
        <v>3020</v>
      </c>
      <c r="E369" s="33">
        <f t="shared" si="57"/>
        <v>0</v>
      </c>
      <c r="F369" t="str">
        <f t="shared" si="62"/>
        <v>kg ww</v>
      </c>
      <c r="G369" s="32" t="str">
        <f t="shared" si="58"/>
        <v>CC_efficiency * other_PP_INC_ASH_mass_pyrolysis</v>
      </c>
      <c r="H369" s="220"/>
      <c r="I369" s="6" t="str">
        <f t="shared" si="59"/>
        <v>PP</v>
      </c>
      <c r="J369" t="s">
        <v>1360</v>
      </c>
      <c r="K369" s="33">
        <f t="shared" si="60"/>
        <v>0</v>
      </c>
      <c r="L369" t="str">
        <f t="shared" si="63"/>
        <v>kg ww</v>
      </c>
      <c r="M369" t="str">
        <f t="shared" si="61"/>
        <v>other_PP_INC_ASH_mass_pyrolysis - other_PP_AIR_CC_mass_pyrolysis</v>
      </c>
      <c r="N369" s="12"/>
    </row>
    <row r="370" spans="1:42" x14ac:dyDescent="0.2">
      <c r="A370" s="12"/>
      <c r="B370" s="220"/>
      <c r="C370" s="6" t="str">
        <f t="shared" si="56"/>
        <v>PS</v>
      </c>
      <c r="D370" t="s">
        <v>3021</v>
      </c>
      <c r="E370" s="33">
        <f t="shared" si="57"/>
        <v>0</v>
      </c>
      <c r="F370" t="str">
        <f t="shared" si="62"/>
        <v>kg ww</v>
      </c>
      <c r="G370" s="32" t="str">
        <f t="shared" si="58"/>
        <v>CC_efficiency * other_PS_INC_ASH_mass_pyrolysis</v>
      </c>
      <c r="H370" s="220"/>
      <c r="I370" s="6" t="str">
        <f t="shared" si="59"/>
        <v>PS</v>
      </c>
      <c r="J370" t="s">
        <v>1361</v>
      </c>
      <c r="K370" s="33">
        <f t="shared" si="60"/>
        <v>0</v>
      </c>
      <c r="L370" t="str">
        <f t="shared" si="63"/>
        <v>kg ww</v>
      </c>
      <c r="M370" t="str">
        <f t="shared" si="61"/>
        <v>other_PS_INC_ASH_mass_pyrolysis - other_PS_AIR_CC_mass_pyrolysis</v>
      </c>
      <c r="N370" s="12"/>
    </row>
    <row r="371" spans="1:42" x14ac:dyDescent="0.2">
      <c r="A371" s="12"/>
      <c r="B371" s="227"/>
      <c r="C371" s="60" t="str">
        <f t="shared" si="56"/>
        <v>Other</v>
      </c>
      <c r="D371" s="44" t="s">
        <v>3022</v>
      </c>
      <c r="E371" s="62">
        <f t="shared" si="57"/>
        <v>59.028659999999952</v>
      </c>
      <c r="F371" s="44" t="str">
        <f t="shared" si="62"/>
        <v>kg ww</v>
      </c>
      <c r="G371" s="32" t="str">
        <f t="shared" si="58"/>
        <v>CC_efficiency * other_Oth_INC_ASH_mass_pyrolysis</v>
      </c>
      <c r="H371" s="220"/>
      <c r="I371" s="6" t="str">
        <f t="shared" si="59"/>
        <v>Other</v>
      </c>
      <c r="J371" t="s">
        <v>1362</v>
      </c>
      <c r="K371" s="33">
        <f t="shared" si="60"/>
        <v>35.86183999999998</v>
      </c>
      <c r="L371" t="str">
        <f t="shared" si="63"/>
        <v>kg ww</v>
      </c>
      <c r="M371" t="str">
        <f t="shared" si="61"/>
        <v>other_Oth_INC_ASH_mass_pyrolysis - other_Oth_AIR_CC_mass_pyrolysis</v>
      </c>
      <c r="N371" s="12"/>
    </row>
    <row r="372" spans="1:42" s="2" customFormat="1" ht="25" customHeight="1" x14ac:dyDescent="0.2">
      <c r="A372" s="11"/>
      <c r="B372" s="214" t="s">
        <v>3023</v>
      </c>
      <c r="C372" s="214"/>
      <c r="D372" s="214"/>
      <c r="E372" s="214"/>
      <c r="F372" s="214"/>
      <c r="G372" s="214"/>
      <c r="H372" s="214"/>
      <c r="I372" s="214"/>
      <c r="J372" s="214"/>
      <c r="K372" s="214"/>
      <c r="L372" s="214"/>
      <c r="M372" s="214"/>
      <c r="N372" s="11"/>
      <c r="O372"/>
      <c r="P372"/>
      <c r="Q372"/>
      <c r="R372"/>
      <c r="S372"/>
      <c r="T372"/>
      <c r="U372"/>
      <c r="V372"/>
      <c r="W372"/>
      <c r="X372"/>
      <c r="Y372"/>
      <c r="Z372"/>
      <c r="AA372"/>
      <c r="AB372"/>
      <c r="AC372"/>
      <c r="AD372"/>
      <c r="AE372"/>
      <c r="AF372"/>
      <c r="AG372"/>
      <c r="AH372"/>
      <c r="AI372"/>
      <c r="AJ372"/>
      <c r="AK372"/>
      <c r="AL372"/>
      <c r="AM372"/>
      <c r="AN372"/>
      <c r="AO372"/>
      <c r="AP372"/>
    </row>
    <row r="373" spans="1:42" s="2" customFormat="1" x14ac:dyDescent="0.2">
      <c r="A373" s="11"/>
      <c r="B373" s="2" t="str">
        <f>B336</f>
        <v>Patameter</v>
      </c>
      <c r="C373" s="2" t="str">
        <f>C336</f>
        <v>Value</v>
      </c>
      <c r="D373" s="2" t="str">
        <f>D336</f>
        <v>Unit</v>
      </c>
      <c r="E373" s="2" t="str">
        <f>E336</f>
        <v>Description</v>
      </c>
      <c r="G373" s="1"/>
      <c r="H373" s="2" t="str">
        <f>B373</f>
        <v>Patameter</v>
      </c>
      <c r="I373" s="2" t="str">
        <f t="shared" ref="I373:K373" si="64">C373</f>
        <v>Value</v>
      </c>
      <c r="J373" s="2" t="str">
        <f t="shared" si="64"/>
        <v>Unit</v>
      </c>
      <c r="K373" s="2" t="str">
        <f t="shared" si="64"/>
        <v>Description</v>
      </c>
      <c r="N373" s="11"/>
      <c r="O373"/>
      <c r="P373"/>
      <c r="Q373"/>
      <c r="R373"/>
      <c r="S373"/>
      <c r="T373"/>
      <c r="U373"/>
      <c r="V373"/>
      <c r="W373"/>
      <c r="X373"/>
      <c r="Y373"/>
      <c r="Z373"/>
      <c r="AA373"/>
      <c r="AB373"/>
      <c r="AC373"/>
      <c r="AD373"/>
      <c r="AE373"/>
      <c r="AF373"/>
      <c r="AG373"/>
      <c r="AH373"/>
      <c r="AI373"/>
      <c r="AJ373"/>
      <c r="AK373"/>
      <c r="AL373"/>
      <c r="AM373"/>
      <c r="AN373"/>
      <c r="AO373"/>
      <c r="AP373"/>
    </row>
    <row r="374" spans="1:42" s="2" customFormat="1" x14ac:dyDescent="0.2">
      <c r="A374" s="11"/>
      <c r="B374" t="s">
        <v>3024</v>
      </c>
      <c r="C374" s="33">
        <f>SUM(E352:E356)</f>
        <v>44.588045948802971</v>
      </c>
      <c r="D374" t="s">
        <v>10</v>
      </c>
      <c r="E374" t="s">
        <v>2978</v>
      </c>
      <c r="F374"/>
      <c r="G374" s="32"/>
      <c r="H374" t="s">
        <v>1363</v>
      </c>
      <c r="I374" s="33">
        <f>SUM(K352:K356)</f>
        <v>23.553121513545843</v>
      </c>
      <c r="J374" t="s">
        <v>10</v>
      </c>
      <c r="K374" t="s">
        <v>1561</v>
      </c>
      <c r="L374"/>
      <c r="M374"/>
      <c r="N374" s="11"/>
      <c r="O374"/>
      <c r="P374"/>
      <c r="Q374"/>
      <c r="R374"/>
      <c r="S374"/>
      <c r="T374"/>
      <c r="U374"/>
      <c r="V374"/>
      <c r="W374"/>
      <c r="X374"/>
      <c r="Y374"/>
      <c r="Z374"/>
      <c r="AA374"/>
      <c r="AB374"/>
      <c r="AC374"/>
      <c r="AD374"/>
      <c r="AE374"/>
      <c r="AF374"/>
      <c r="AG374"/>
      <c r="AH374"/>
      <c r="AI374"/>
      <c r="AJ374"/>
      <c r="AK374"/>
      <c r="AL374"/>
      <c r="AM374"/>
      <c r="AN374"/>
      <c r="AO374"/>
      <c r="AP374"/>
    </row>
    <row r="375" spans="1:42" x14ac:dyDescent="0.2">
      <c r="A375" s="12"/>
      <c r="B375" t="s">
        <v>3025</v>
      </c>
      <c r="C375" s="33">
        <f>SUM(E357:E361)</f>
        <v>36.825725904243093</v>
      </c>
      <c r="D375" t="str">
        <f>D374</f>
        <v>kg ww</v>
      </c>
      <c r="E375" t="s">
        <v>2979</v>
      </c>
      <c r="G375" s="32"/>
      <c r="H375" t="s">
        <v>1364</v>
      </c>
      <c r="I375">
        <f>SUM(K357:K361)</f>
        <v>15.211925113346075</v>
      </c>
      <c r="J375" t="str">
        <f>J374</f>
        <v>kg ww</v>
      </c>
      <c r="K375" t="s">
        <v>1562</v>
      </c>
      <c r="N375" s="12"/>
    </row>
    <row r="376" spans="1:42" x14ac:dyDescent="0.2">
      <c r="A376" s="12"/>
      <c r="B376" t="s">
        <v>3026</v>
      </c>
      <c r="C376" s="33">
        <f>SUM(E362:E366)</f>
        <v>79.404190776349893</v>
      </c>
      <c r="D376" t="str">
        <f t="shared" ref="D376" si="65">D375</f>
        <v>kg ww</v>
      </c>
      <c r="E376" t="s">
        <v>2980</v>
      </c>
      <c r="G376" s="32"/>
      <c r="H376" t="s">
        <v>1365</v>
      </c>
      <c r="I376">
        <f>SUM(K362:K366)</f>
        <v>41.721787352256591</v>
      </c>
      <c r="J376" t="str">
        <f t="shared" ref="J376" si="66">J375</f>
        <v>kg ww</v>
      </c>
      <c r="K376" t="s">
        <v>1563</v>
      </c>
      <c r="N376" s="12"/>
    </row>
    <row r="377" spans="1:42" ht="16" thickBot="1" x14ac:dyDescent="0.25">
      <c r="A377" s="12"/>
      <c r="B377" s="8" t="s">
        <v>3027</v>
      </c>
      <c r="C377" s="34">
        <f>SUM(E367:E371)</f>
        <v>59.028659999999952</v>
      </c>
      <c r="D377" s="8" t="str">
        <f>D376</f>
        <v>kg ww</v>
      </c>
      <c r="E377" s="8" t="s">
        <v>2981</v>
      </c>
      <c r="F377" s="8"/>
      <c r="G377" s="87"/>
      <c r="H377" s="8" t="s">
        <v>1366</v>
      </c>
      <c r="I377" s="8">
        <f>SUM(K367:K371)</f>
        <v>35.86183999999998</v>
      </c>
      <c r="J377" s="8" t="s">
        <v>10</v>
      </c>
      <c r="K377" s="8" t="s">
        <v>1564</v>
      </c>
      <c r="L377" s="8"/>
      <c r="M377" s="8"/>
      <c r="N377" s="12"/>
    </row>
    <row r="378" spans="1:42" ht="16" thickTop="1" x14ac:dyDescent="0.2">
      <c r="A378" s="12"/>
      <c r="B378" s="44" t="s">
        <v>3028</v>
      </c>
      <c r="C378" s="62">
        <f>SUM(C374:C377)</f>
        <v>219.84662262939588</v>
      </c>
      <c r="D378" s="44" t="str">
        <f>D376</f>
        <v>kg ww</v>
      </c>
      <c r="E378" s="44" t="s">
        <v>2982</v>
      </c>
      <c r="F378" s="44"/>
      <c r="G378" s="61"/>
      <c r="H378" s="44" t="s">
        <v>1367</v>
      </c>
      <c r="I378" s="62">
        <f>SUM(I374:I377)</f>
        <v>116.34867397914849</v>
      </c>
      <c r="J378" s="44" t="str">
        <f>J376</f>
        <v>kg ww</v>
      </c>
      <c r="K378" s="44" t="s">
        <v>1565</v>
      </c>
      <c r="L378" s="44"/>
      <c r="M378" s="44"/>
      <c r="N378" s="12"/>
      <c r="O378" s="2"/>
      <c r="AB378" s="2"/>
      <c r="AC378" s="2"/>
      <c r="AP378" s="2"/>
    </row>
    <row r="379" spans="1:42" x14ac:dyDescent="0.2">
      <c r="A379" s="12"/>
      <c r="B379" s="145" t="s">
        <v>2704</v>
      </c>
      <c r="C379" s="138" t="str">
        <f>IF(C378+I378=I341,"true")</f>
        <v>true</v>
      </c>
      <c r="D379" s="125"/>
      <c r="E379" s="125"/>
      <c r="F379" s="125"/>
      <c r="G379" s="125"/>
      <c r="H379" s="145"/>
      <c r="I379" s="138"/>
      <c r="J379" s="125"/>
      <c r="K379" s="126"/>
      <c r="L379" s="125"/>
      <c r="M379" s="126"/>
      <c r="N379" s="12"/>
      <c r="O379" s="2"/>
      <c r="AB379" s="2"/>
      <c r="AC379" s="2"/>
      <c r="AP379" s="2"/>
    </row>
    <row r="380" spans="1:42" x14ac:dyDescent="0.2">
      <c r="A380" s="12"/>
      <c r="B380" s="90"/>
      <c r="C380" s="89"/>
      <c r="D380" s="12"/>
      <c r="E380" s="12"/>
      <c r="F380" s="12"/>
      <c r="G380" s="12"/>
      <c r="H380" s="90"/>
      <c r="I380" s="89"/>
      <c r="J380" s="12"/>
      <c r="K380" s="13"/>
      <c r="L380" s="12"/>
      <c r="M380" s="13"/>
      <c r="N380" s="12"/>
    </row>
    <row r="381" spans="1:42" x14ac:dyDescent="0.2">
      <c r="A381" s="12"/>
      <c r="B381" s="90"/>
      <c r="C381" s="89"/>
      <c r="D381" s="12"/>
      <c r="E381" s="12"/>
      <c r="F381" s="12"/>
      <c r="G381" s="12"/>
      <c r="H381" s="90"/>
      <c r="I381" s="89"/>
      <c r="J381" s="12"/>
      <c r="K381" s="13"/>
      <c r="L381" s="12"/>
      <c r="M381" s="13"/>
      <c r="N381" s="12"/>
    </row>
    <row r="382" spans="1:42" x14ac:dyDescent="0.2">
      <c r="A382" s="69"/>
      <c r="B382" s="91"/>
      <c r="C382" s="92"/>
      <c r="D382" s="69"/>
      <c r="E382" s="69"/>
      <c r="F382" s="69"/>
      <c r="G382" s="69"/>
      <c r="H382" s="91"/>
      <c r="I382" s="92"/>
      <c r="J382" s="69"/>
      <c r="K382" s="93"/>
      <c r="L382" s="69"/>
      <c r="M382" s="93"/>
      <c r="N382" s="69"/>
    </row>
    <row r="383" spans="1:42" x14ac:dyDescent="0.2">
      <c r="A383" s="14"/>
      <c r="B383" s="14"/>
      <c r="C383" s="14"/>
      <c r="D383" s="14"/>
      <c r="E383" s="14"/>
      <c r="F383" s="14"/>
      <c r="G383" s="14"/>
      <c r="H383" s="14"/>
      <c r="I383" s="14"/>
      <c r="J383" s="14"/>
      <c r="K383" s="14"/>
      <c r="L383" s="14"/>
      <c r="M383" s="14"/>
      <c r="N383" s="14"/>
    </row>
    <row r="384" spans="1:42" s="2" customFormat="1" ht="26" x14ac:dyDescent="0.3">
      <c r="A384" s="49"/>
      <c r="B384" s="216" t="s">
        <v>97</v>
      </c>
      <c r="C384" s="216"/>
      <c r="D384" s="216"/>
      <c r="E384" s="216"/>
      <c r="F384" s="216"/>
      <c r="G384" s="216"/>
      <c r="H384" s="216"/>
      <c r="I384" s="216"/>
      <c r="J384" s="216"/>
      <c r="K384" s="216"/>
      <c r="L384" s="216"/>
      <c r="M384" s="216"/>
      <c r="N384" s="50"/>
      <c r="O384"/>
      <c r="P384"/>
      <c r="Q384"/>
      <c r="R384"/>
      <c r="S384"/>
      <c r="T384"/>
      <c r="U384"/>
      <c r="V384"/>
      <c r="W384"/>
      <c r="X384"/>
      <c r="Y384"/>
      <c r="Z384"/>
      <c r="AA384"/>
      <c r="AB384"/>
      <c r="AC384"/>
      <c r="AD384"/>
      <c r="AE384"/>
      <c r="AF384"/>
      <c r="AG384"/>
      <c r="AH384"/>
      <c r="AI384"/>
      <c r="AJ384"/>
      <c r="AK384"/>
      <c r="AL384"/>
      <c r="AM384"/>
      <c r="AN384"/>
      <c r="AO384"/>
      <c r="AP384"/>
    </row>
    <row r="385" spans="1:42" s="2" customFormat="1" x14ac:dyDescent="0.2">
      <c r="A385" s="14"/>
      <c r="B385" s="14"/>
      <c r="C385" s="14"/>
      <c r="D385" s="14"/>
      <c r="E385" s="14"/>
      <c r="F385" s="14"/>
      <c r="G385" s="14"/>
      <c r="H385" s="14"/>
      <c r="I385" s="14"/>
      <c r="J385" s="14"/>
      <c r="K385" s="14"/>
      <c r="L385" s="14"/>
      <c r="M385" s="14"/>
      <c r="N385" s="14"/>
      <c r="O385"/>
      <c r="P385"/>
      <c r="Q385"/>
      <c r="R385"/>
      <c r="S385"/>
      <c r="T385"/>
      <c r="U385"/>
      <c r="V385"/>
      <c r="W385"/>
      <c r="X385"/>
      <c r="Y385"/>
      <c r="Z385"/>
      <c r="AA385"/>
      <c r="AB385"/>
      <c r="AC385"/>
      <c r="AD385"/>
      <c r="AE385"/>
      <c r="AF385"/>
      <c r="AG385"/>
      <c r="AH385"/>
      <c r="AI385"/>
      <c r="AJ385"/>
      <c r="AK385"/>
      <c r="AL385"/>
      <c r="AM385"/>
      <c r="AN385"/>
      <c r="AO385"/>
      <c r="AP385"/>
    </row>
    <row r="386" spans="1:42" ht="25" customHeight="1" x14ac:dyDescent="0.2">
      <c r="A386" s="14"/>
      <c r="B386" s="214" t="s">
        <v>1</v>
      </c>
      <c r="C386" s="214"/>
      <c r="D386" s="214"/>
      <c r="E386" s="214"/>
      <c r="F386" s="214"/>
      <c r="G386" s="214"/>
      <c r="H386" s="214"/>
      <c r="I386" s="214"/>
      <c r="J386" s="214"/>
      <c r="K386" s="214"/>
      <c r="L386" s="214"/>
      <c r="M386" s="214"/>
      <c r="N386" s="14"/>
    </row>
    <row r="387" spans="1:42" x14ac:dyDescent="0.2">
      <c r="A387" s="14"/>
      <c r="B387" s="114" t="s">
        <v>2</v>
      </c>
      <c r="C387" s="114" t="s">
        <v>3</v>
      </c>
      <c r="D387" s="114" t="s">
        <v>4</v>
      </c>
      <c r="E387" s="114" t="s">
        <v>5</v>
      </c>
      <c r="F387" s="114" t="s">
        <v>6</v>
      </c>
      <c r="G387" s="114" t="s">
        <v>7</v>
      </c>
      <c r="H387" s="114" t="s">
        <v>112</v>
      </c>
      <c r="I387" s="106"/>
      <c r="J387" s="106"/>
      <c r="K387" s="106"/>
      <c r="L387" s="106"/>
      <c r="M387" s="106"/>
      <c r="N387" s="14"/>
    </row>
    <row r="388" spans="1:42" x14ac:dyDescent="0.2">
      <c r="A388" s="14"/>
      <c r="B388" s="106" t="str">
        <f>'info, structure, parameters'!A205</f>
        <v>bottle_carbon</v>
      </c>
      <c r="C388" s="106">
        <f>'info, structure, parameters'!B205</f>
        <v>0.68735999999999997</v>
      </c>
      <c r="D388" s="106" t="str">
        <f>'info, structure, parameters'!C205</f>
        <v>kg C</v>
      </c>
      <c r="E388" s="106">
        <f>'info, structure, parameters'!D205</f>
        <v>0.68735999999999997</v>
      </c>
      <c r="F388" s="106">
        <f>'info, structure, parameters'!E205</f>
        <v>0.68735999999999997</v>
      </c>
      <c r="G388" s="106" t="str">
        <f>'info, structure, parameters'!F205</f>
        <v>Amount of fossile carbon contained in 1 kg of plastic bottle waste</v>
      </c>
      <c r="H388" s="106">
        <f>'info, structure, parameters'!G205</f>
        <v>3</v>
      </c>
      <c r="I388" s="106"/>
      <c r="J388" s="106"/>
      <c r="K388" s="106"/>
      <c r="L388" s="106"/>
      <c r="M388" s="106"/>
      <c r="N388" s="14"/>
      <c r="O388" s="2"/>
      <c r="AB388" s="2"/>
      <c r="AC388" s="2"/>
      <c r="AP388" s="2"/>
    </row>
    <row r="389" spans="1:42" x14ac:dyDescent="0.2">
      <c r="A389" s="14"/>
      <c r="B389" s="106" t="str">
        <f>'info, structure, parameters'!A206</f>
        <v>rigid_carbon</v>
      </c>
      <c r="C389" s="106">
        <f>'info, structure, parameters'!B206</f>
        <v>0.76956000000000002</v>
      </c>
      <c r="D389" s="106" t="str">
        <f>'info, structure, parameters'!C206</f>
        <v>kg C</v>
      </c>
      <c r="E389" s="106">
        <f>'info, structure, parameters'!D206</f>
        <v>0.76956000000000002</v>
      </c>
      <c r="F389" s="106">
        <f>'info, structure, parameters'!E206</f>
        <v>0.76956000000000002</v>
      </c>
      <c r="G389" s="106" t="str">
        <f>'info, structure, parameters'!F206</f>
        <v>Amount of fossile carbon contained in 1 kg of rigid plastic waste</v>
      </c>
      <c r="H389" s="106">
        <f>'info, structure, parameters'!G206</f>
        <v>3</v>
      </c>
      <c r="I389" s="106"/>
      <c r="J389" s="106"/>
      <c r="K389" s="106"/>
      <c r="L389" s="106"/>
      <c r="M389" s="106"/>
      <c r="N389" s="14"/>
      <c r="O389" s="2"/>
      <c r="AB389" s="2"/>
      <c r="AC389" s="2"/>
      <c r="AP389" s="2"/>
    </row>
    <row r="390" spans="1:42" x14ac:dyDescent="0.2">
      <c r="A390" s="14"/>
      <c r="B390" s="106" t="str">
        <f>'info, structure, parameters'!A207</f>
        <v>soft_carbon</v>
      </c>
      <c r="C390" s="106">
        <f>'info, structure, parameters'!B207</f>
        <v>0.7008624</v>
      </c>
      <c r="D390" s="106" t="str">
        <f>'info, structure, parameters'!C207</f>
        <v>kg C</v>
      </c>
      <c r="E390" s="106">
        <f>'info, structure, parameters'!D207</f>
        <v>0.7008624</v>
      </c>
      <c r="F390" s="106">
        <f>'info, structure, parameters'!E207</f>
        <v>0.7008624</v>
      </c>
      <c r="G390" s="106" t="str">
        <f>'info, structure, parameters'!F207</f>
        <v>Amount of fossile carbon contained in 1 kg of soft plastic waste</v>
      </c>
      <c r="H390" s="106">
        <f>'info, structure, parameters'!G207</f>
        <v>3</v>
      </c>
      <c r="I390" s="106"/>
      <c r="J390" s="106"/>
      <c r="K390" s="106"/>
      <c r="L390" s="106"/>
      <c r="M390" s="106"/>
      <c r="N390" s="14"/>
    </row>
    <row r="391" spans="1:42" x14ac:dyDescent="0.2">
      <c r="A391" s="14"/>
      <c r="B391" s="106" t="str">
        <f>'info, structure, parameters'!A208</f>
        <v>nonrec_carbon</v>
      </c>
      <c r="C391" s="106">
        <f>'info, structure, parameters'!B208</f>
        <v>0.65587399999999996</v>
      </c>
      <c r="D391" s="106" t="str">
        <f>'info, structure, parameters'!C208</f>
        <v>kg C</v>
      </c>
      <c r="E391" s="106">
        <f>'info, structure, parameters'!D208</f>
        <v>0.65587399999999996</v>
      </c>
      <c r="F391" s="106">
        <f>'info, structure, parameters'!E208</f>
        <v>0.65587399999999996</v>
      </c>
      <c r="G391" s="106" t="str">
        <f>'info, structure, parameters'!F208</f>
        <v>Amount of fossile carbon contained in 1 kg of non recyclable plastic waste</v>
      </c>
      <c r="H391" s="106">
        <f>'info, structure, parameters'!G208</f>
        <v>3</v>
      </c>
      <c r="I391" s="106"/>
      <c r="J391" s="106"/>
      <c r="K391" s="106"/>
      <c r="L391" s="106"/>
      <c r="M391" s="106"/>
      <c r="N391" s="14"/>
    </row>
    <row r="392" spans="1:42" ht="25" customHeight="1" x14ac:dyDescent="0.2">
      <c r="A392" s="14"/>
      <c r="B392" s="237"/>
      <c r="C392" s="237"/>
      <c r="D392" s="237"/>
      <c r="E392" s="237"/>
      <c r="F392" s="237"/>
      <c r="G392" s="237"/>
      <c r="H392" s="237"/>
      <c r="I392" s="237"/>
      <c r="J392" s="237"/>
      <c r="K392" s="237"/>
      <c r="L392" s="237"/>
      <c r="M392" s="237"/>
      <c r="N392" s="14"/>
      <c r="O392" s="2"/>
      <c r="AB392" s="2"/>
      <c r="AC392" s="2"/>
      <c r="AP392" s="2"/>
    </row>
    <row r="393" spans="1:42" ht="25" customHeight="1" x14ac:dyDescent="0.2">
      <c r="A393" s="14"/>
      <c r="B393" s="237"/>
      <c r="C393" s="237"/>
      <c r="D393" s="237"/>
      <c r="E393" s="237"/>
      <c r="F393" s="237"/>
      <c r="G393" s="238"/>
      <c r="H393" s="237"/>
      <c r="I393" s="237"/>
      <c r="J393" s="237"/>
      <c r="K393" s="237"/>
      <c r="L393" s="237"/>
      <c r="M393" s="237"/>
      <c r="N393" s="14"/>
      <c r="O393" s="2"/>
      <c r="AB393" s="2"/>
      <c r="AC393" s="2"/>
      <c r="AP393" s="2"/>
    </row>
    <row r="394" spans="1:42" x14ac:dyDescent="0.2">
      <c r="A394" s="14"/>
      <c r="B394" s="2" t="s">
        <v>21</v>
      </c>
      <c r="C394" s="3" t="s">
        <v>20</v>
      </c>
      <c r="D394" s="2" t="s">
        <v>99</v>
      </c>
      <c r="E394" s="2" t="s">
        <v>3</v>
      </c>
      <c r="F394" s="2" t="s">
        <v>4</v>
      </c>
      <c r="G394" s="4" t="s">
        <v>43</v>
      </c>
      <c r="H394" s="2" t="s">
        <v>21</v>
      </c>
      <c r="I394" s="3" t="s">
        <v>20</v>
      </c>
      <c r="J394" s="2" t="str">
        <f>D394</f>
        <v>Name</v>
      </c>
      <c r="K394" s="2" t="s">
        <v>3</v>
      </c>
      <c r="L394" s="2" t="s">
        <v>4</v>
      </c>
      <c r="M394" s="2" t="s">
        <v>43</v>
      </c>
      <c r="N394" s="14"/>
    </row>
    <row r="395" spans="1:42" x14ac:dyDescent="0.2">
      <c r="A395" s="14"/>
      <c r="B395" s="220" t="s">
        <v>14</v>
      </c>
      <c r="C395" s="6" t="str">
        <f t="shared" ref="C395:C414" si="67">C69</f>
        <v>PET</v>
      </c>
      <c r="D395" t="s">
        <v>1602</v>
      </c>
      <c r="E395">
        <f>$C$388*E69</f>
        <v>158.09279999999998</v>
      </c>
      <c r="F395" t="s">
        <v>96</v>
      </c>
      <c r="G395" s="32" t="str">
        <f>$B$388&amp;" * "&amp;D69</f>
        <v>bottle_carbon * bottle_PET_WG_SS_mass_pyrolysis</v>
      </c>
      <c r="H395" s="228" t="s">
        <v>14</v>
      </c>
      <c r="I395" s="6" t="str">
        <f>C395</f>
        <v>PET</v>
      </c>
      <c r="J395" t="s">
        <v>1582</v>
      </c>
      <c r="K395">
        <f t="shared" ref="K395:K400" si="68">$C$388*K69</f>
        <v>0</v>
      </c>
      <c r="L395" t="s">
        <v>96</v>
      </c>
      <c r="M395" t="str">
        <f>$B$388&amp;" * "&amp;J69</f>
        <v>bottle_carbon * bottle_PET_WG_INC_mass_pyrolysis</v>
      </c>
      <c r="N395" s="14"/>
    </row>
    <row r="396" spans="1:42" x14ac:dyDescent="0.2">
      <c r="A396" s="14"/>
      <c r="B396" s="220"/>
      <c r="C396" s="6" t="str">
        <f t="shared" si="67"/>
        <v>PE</v>
      </c>
      <c r="D396" t="s">
        <v>1603</v>
      </c>
      <c r="E396">
        <f>$C$388*E70</f>
        <v>48.115200000000002</v>
      </c>
      <c r="F396" t="s">
        <v>96</v>
      </c>
      <c r="G396" s="32" t="str">
        <f>$B$388&amp;" * "&amp;D70</f>
        <v>bottle_carbon * bottle_PE_WG_SS_mass_pyrolysis</v>
      </c>
      <c r="H396" s="228"/>
      <c r="I396" s="6" t="str">
        <f t="shared" ref="I396:I414" si="69">C396</f>
        <v>PE</v>
      </c>
      <c r="J396" t="s">
        <v>1583</v>
      </c>
      <c r="K396">
        <f t="shared" si="68"/>
        <v>0</v>
      </c>
      <c r="L396" t="s">
        <v>96</v>
      </c>
      <c r="M396" t="str">
        <f>$B$388&amp;" * "&amp;J70</f>
        <v>bottle_carbon * bottle_PE_WG_INC_mass_pyrolysis</v>
      </c>
      <c r="N396" s="14"/>
    </row>
    <row r="397" spans="1:42" x14ac:dyDescent="0.2">
      <c r="A397" s="14"/>
      <c r="B397" s="220"/>
      <c r="C397" s="6" t="str">
        <f t="shared" si="67"/>
        <v>PP</v>
      </c>
      <c r="D397" t="s">
        <v>1604</v>
      </c>
      <c r="E397">
        <f>$C$388*E71</f>
        <v>0</v>
      </c>
      <c r="F397" t="s">
        <v>96</v>
      </c>
      <c r="G397" s="32" t="str">
        <f>$B$388&amp;" * "&amp;D71</f>
        <v>bottle_carbon * bottle_PP_WG_SS_mass_pyrolysis</v>
      </c>
      <c r="H397" s="228"/>
      <c r="I397" s="6" t="str">
        <f t="shared" si="69"/>
        <v>PP</v>
      </c>
      <c r="J397" t="s">
        <v>1584</v>
      </c>
      <c r="K397">
        <f t="shared" si="68"/>
        <v>0</v>
      </c>
      <c r="L397" t="s">
        <v>96</v>
      </c>
      <c r="M397" t="str">
        <f>$B$388&amp;" * "&amp;J71</f>
        <v>bottle_carbon * bottle_PP_WG_INC_mass_pyrolysis</v>
      </c>
      <c r="N397" s="14"/>
    </row>
    <row r="398" spans="1:42" s="2" customFormat="1" x14ac:dyDescent="0.2">
      <c r="A398" s="14"/>
      <c r="B398" s="220"/>
      <c r="C398" s="6" t="str">
        <f t="shared" si="67"/>
        <v>PS</v>
      </c>
      <c r="D398" t="s">
        <v>1605</v>
      </c>
      <c r="E398">
        <f>$C$388*E72</f>
        <v>0</v>
      </c>
      <c r="F398" t="s">
        <v>96</v>
      </c>
      <c r="G398" s="32" t="str">
        <f>$B$388&amp;" * "&amp;D72</f>
        <v>bottle_carbon * bottle_PS_WG_SS_mass_pyrolysis</v>
      </c>
      <c r="H398" s="228"/>
      <c r="I398" s="6" t="str">
        <f t="shared" si="69"/>
        <v>PS</v>
      </c>
      <c r="J398" t="s">
        <v>1585</v>
      </c>
      <c r="K398">
        <f t="shared" si="68"/>
        <v>0</v>
      </c>
      <c r="L398" t="s">
        <v>96</v>
      </c>
      <c r="M398" t="str">
        <f>$B$388&amp;" * "&amp;J72</f>
        <v>bottle_carbon * bottle_PS_WG_INC_mass_pyrolysis</v>
      </c>
      <c r="N398" s="14"/>
      <c r="O398"/>
      <c r="P398"/>
      <c r="Q398"/>
      <c r="R398"/>
      <c r="S398"/>
      <c r="T398"/>
      <c r="U398"/>
      <c r="V398"/>
      <c r="W398"/>
      <c r="X398"/>
      <c r="Y398"/>
      <c r="Z398"/>
      <c r="AA398"/>
      <c r="AB398"/>
      <c r="AC398"/>
      <c r="AD398"/>
      <c r="AE398"/>
      <c r="AF398"/>
      <c r="AG398"/>
      <c r="AH398"/>
      <c r="AI398"/>
      <c r="AJ398"/>
      <c r="AK398"/>
      <c r="AL398"/>
      <c r="AM398"/>
      <c r="AN398"/>
      <c r="AO398"/>
      <c r="AP398"/>
    </row>
    <row r="399" spans="1:42" s="2" customFormat="1" x14ac:dyDescent="0.2">
      <c r="A399" s="14"/>
      <c r="B399" s="220"/>
      <c r="C399" s="6" t="str">
        <f t="shared" si="67"/>
        <v>Other</v>
      </c>
      <c r="D399" t="s">
        <v>1606</v>
      </c>
      <c r="E399">
        <f>$C$388*E73</f>
        <v>0</v>
      </c>
      <c r="F399" t="s">
        <v>96</v>
      </c>
      <c r="G399" s="32" t="str">
        <f>$B$388&amp;" * "&amp;D73</f>
        <v>bottle_carbon * bottle_Oth_WG_SS_mass_pyrolysis</v>
      </c>
      <c r="H399" s="228"/>
      <c r="I399" s="6" t="str">
        <f t="shared" si="69"/>
        <v>Other</v>
      </c>
      <c r="J399" t="s">
        <v>1586</v>
      </c>
      <c r="K399">
        <f t="shared" si="68"/>
        <v>0</v>
      </c>
      <c r="L399" t="s">
        <v>96</v>
      </c>
      <c r="M399" t="str">
        <f>$B$388&amp;" * "&amp;J73</f>
        <v>bottle_carbon * bottle_Oth_WG_INC_mass_pyrolysis</v>
      </c>
      <c r="N399" s="14"/>
      <c r="O399"/>
      <c r="P399"/>
      <c r="Q399"/>
      <c r="R399"/>
      <c r="S399"/>
      <c r="T399"/>
      <c r="U399"/>
      <c r="V399"/>
      <c r="W399"/>
      <c r="X399"/>
      <c r="Y399"/>
      <c r="Z399"/>
      <c r="AA399"/>
      <c r="AB399"/>
      <c r="AC399"/>
      <c r="AD399"/>
      <c r="AE399"/>
      <c r="AF399"/>
      <c r="AG399"/>
      <c r="AH399"/>
      <c r="AI399"/>
      <c r="AJ399"/>
      <c r="AK399"/>
      <c r="AL399"/>
      <c r="AM399"/>
      <c r="AN399"/>
      <c r="AO399"/>
      <c r="AP399"/>
    </row>
    <row r="400" spans="1:42" x14ac:dyDescent="0.2">
      <c r="A400" s="14"/>
      <c r="B400" s="220" t="s">
        <v>15</v>
      </c>
      <c r="C400" s="6" t="str">
        <f t="shared" si="67"/>
        <v>PET</v>
      </c>
      <c r="D400" t="s">
        <v>1607</v>
      </c>
      <c r="E400">
        <f>$C$389*E74</f>
        <v>30.782400000000003</v>
      </c>
      <c r="F400" t="s">
        <v>96</v>
      </c>
      <c r="G400" s="32" t="str">
        <f>$B$389&amp;" * "&amp;D74</f>
        <v>rigid_carbon * rigid_PET_WG_SS_mass_pyrolysis</v>
      </c>
      <c r="H400" s="228" t="s">
        <v>15</v>
      </c>
      <c r="I400" s="6" t="str">
        <f t="shared" si="69"/>
        <v>PET</v>
      </c>
      <c r="J400" t="s">
        <v>1587</v>
      </c>
      <c r="K400">
        <f t="shared" si="68"/>
        <v>0</v>
      </c>
      <c r="L400" t="s">
        <v>96</v>
      </c>
      <c r="M400" t="str">
        <f>$B$389&amp;" * "&amp;J74</f>
        <v>rigid_carbon * rigid_PET_WG_INC_mass_pyrolysis</v>
      </c>
      <c r="N400" s="14"/>
    </row>
    <row r="401" spans="1:42" x14ac:dyDescent="0.2">
      <c r="A401" s="14"/>
      <c r="B401" s="220"/>
      <c r="C401" s="6" t="str">
        <f t="shared" si="67"/>
        <v>PE</v>
      </c>
      <c r="D401" t="s">
        <v>1608</v>
      </c>
      <c r="E401">
        <f>$C$389*E75</f>
        <v>23.0868</v>
      </c>
      <c r="F401" t="s">
        <v>96</v>
      </c>
      <c r="G401" s="32" t="str">
        <f>$B$389&amp;" * "&amp;D75</f>
        <v>rigid_carbon * rigid_PE_WG_SS_mass_pyrolysis</v>
      </c>
      <c r="H401" s="228"/>
      <c r="I401" s="6" t="str">
        <f t="shared" si="69"/>
        <v>PE</v>
      </c>
      <c r="J401" t="s">
        <v>1588</v>
      </c>
      <c r="K401">
        <f>$C$389*K75</f>
        <v>0</v>
      </c>
      <c r="L401" t="s">
        <v>96</v>
      </c>
      <c r="M401" t="str">
        <f>$B$389&amp;" * "&amp;J75</f>
        <v>rigid_carbon * rigid_PE_WG_INC_mass_pyrolysis</v>
      </c>
      <c r="N401" s="14"/>
    </row>
    <row r="402" spans="1:42" x14ac:dyDescent="0.2">
      <c r="A402" s="14"/>
      <c r="B402" s="220"/>
      <c r="C402" s="6" t="str">
        <f t="shared" si="67"/>
        <v>PP</v>
      </c>
      <c r="D402" t="s">
        <v>1609</v>
      </c>
      <c r="E402">
        <f>$C$389*E76</f>
        <v>53.869199999999999</v>
      </c>
      <c r="F402" t="s">
        <v>96</v>
      </c>
      <c r="G402" s="32" t="str">
        <f>$B$389&amp;" * "&amp;D76</f>
        <v>rigid_carbon * rigid_PP_WG_SS_mass_pyrolysis</v>
      </c>
      <c r="H402" s="228"/>
      <c r="I402" s="6" t="str">
        <f t="shared" si="69"/>
        <v>PP</v>
      </c>
      <c r="J402" t="s">
        <v>1589</v>
      </c>
      <c r="K402">
        <f>$C$389*K76</f>
        <v>0</v>
      </c>
      <c r="L402" t="s">
        <v>96</v>
      </c>
      <c r="M402" t="str">
        <f>$B$389&amp;" * "&amp;J76</f>
        <v>rigid_carbon * rigid_PP_WG_INC_mass_pyrolysis</v>
      </c>
      <c r="N402" s="14"/>
    </row>
    <row r="403" spans="1:42" x14ac:dyDescent="0.2">
      <c r="A403" s="14"/>
      <c r="B403" s="220"/>
      <c r="C403" s="6" t="str">
        <f t="shared" si="67"/>
        <v>PS</v>
      </c>
      <c r="D403" t="s">
        <v>1610</v>
      </c>
      <c r="E403">
        <f>$C$389*E77</f>
        <v>7.6956000000000007</v>
      </c>
      <c r="F403" t="s">
        <v>96</v>
      </c>
      <c r="G403" s="32" t="str">
        <f>$B$389&amp;" * "&amp;D77</f>
        <v>rigid_carbon * rigid_PS_WG_SS_mass_pyrolysis</v>
      </c>
      <c r="H403" s="228"/>
      <c r="I403" s="6" t="str">
        <f t="shared" si="69"/>
        <v>PS</v>
      </c>
      <c r="J403" t="s">
        <v>1590</v>
      </c>
      <c r="K403">
        <f>$C$389*K77</f>
        <v>0</v>
      </c>
      <c r="L403" t="s">
        <v>96</v>
      </c>
      <c r="M403" t="str">
        <f>$B$389&amp;" * "&amp;J77</f>
        <v>rigid_carbon * rigid_PS_WG_INC_mass_pyrolysis</v>
      </c>
      <c r="N403" s="14"/>
      <c r="O403" s="2"/>
      <c r="AB403" s="2"/>
      <c r="AC403" s="2"/>
      <c r="AP403" s="2"/>
    </row>
    <row r="404" spans="1:42" x14ac:dyDescent="0.2">
      <c r="A404" s="14"/>
      <c r="B404" s="220"/>
      <c r="C404" s="6" t="str">
        <f t="shared" si="67"/>
        <v>Other</v>
      </c>
      <c r="D404" t="s">
        <v>1611</v>
      </c>
      <c r="E404">
        <f>$C$389*E78</f>
        <v>38.477999999999987</v>
      </c>
      <c r="F404" t="s">
        <v>96</v>
      </c>
      <c r="G404" s="32" t="str">
        <f>$B$389&amp;" * "&amp;D78</f>
        <v>rigid_carbon * rigid_Oth_WG_SS_mass_pyrolysis</v>
      </c>
      <c r="H404" s="228"/>
      <c r="I404" s="6" t="str">
        <f t="shared" si="69"/>
        <v>Other</v>
      </c>
      <c r="J404" t="s">
        <v>1591</v>
      </c>
      <c r="K404">
        <f>$C$389*K78</f>
        <v>0</v>
      </c>
      <c r="L404" t="s">
        <v>96</v>
      </c>
      <c r="M404" t="str">
        <f>$B$389&amp;" * "&amp;J78</f>
        <v>rigid_carbon * rigid_Oth_WG_INC_mass_pyrolysis</v>
      </c>
      <c r="N404" s="14"/>
      <c r="O404" s="2"/>
      <c r="AB404" s="2"/>
      <c r="AC404" s="2"/>
      <c r="AP404" s="2"/>
    </row>
    <row r="405" spans="1:42" x14ac:dyDescent="0.2">
      <c r="A405" s="14"/>
      <c r="B405" s="220" t="s">
        <v>42</v>
      </c>
      <c r="C405" s="6" t="str">
        <f t="shared" si="67"/>
        <v>PET</v>
      </c>
      <c r="D405" t="s">
        <v>1612</v>
      </c>
      <c r="E405">
        <f>$C$390*E79</f>
        <v>0</v>
      </c>
      <c r="F405" t="s">
        <v>96</v>
      </c>
      <c r="G405" s="32" t="str">
        <f>$B$390&amp;" * "&amp;D79</f>
        <v>soft_carbon * soft_PET_WG_SS_mass_pyrolysis</v>
      </c>
      <c r="H405" s="220" t="s">
        <v>42</v>
      </c>
      <c r="I405" s="6" t="str">
        <f t="shared" si="69"/>
        <v>PET</v>
      </c>
      <c r="J405" t="s">
        <v>1990</v>
      </c>
      <c r="K405">
        <f>$C$390*K79</f>
        <v>0</v>
      </c>
      <c r="L405" t="s">
        <v>96</v>
      </c>
      <c r="M405" t="str">
        <f>$B$390&amp;" * "&amp;J79</f>
        <v>soft_carbon * soft_PET_WG_INC_mass_pyrolysis</v>
      </c>
      <c r="N405" s="14"/>
    </row>
    <row r="406" spans="1:42" x14ac:dyDescent="0.2">
      <c r="A406" s="14"/>
      <c r="B406" s="220"/>
      <c r="C406" s="6" t="str">
        <f t="shared" si="67"/>
        <v>PE</v>
      </c>
      <c r="D406" t="s">
        <v>1613</v>
      </c>
      <c r="E406">
        <f>$C$390*E80</f>
        <v>210.25872000000001</v>
      </c>
      <c r="F406" t="s">
        <v>96</v>
      </c>
      <c r="G406" s="32" t="str">
        <f>$B$390&amp;" * "&amp;D80</f>
        <v>soft_carbon * soft_PE_WG_SS_mass_pyrolysis</v>
      </c>
      <c r="H406" s="220"/>
      <c r="I406" s="6" t="str">
        <f t="shared" si="69"/>
        <v>PE</v>
      </c>
      <c r="J406" t="s">
        <v>1592</v>
      </c>
      <c r="K406">
        <f>$C$390*K80</f>
        <v>0</v>
      </c>
      <c r="L406" t="s">
        <v>96</v>
      </c>
      <c r="M406" t="str">
        <f>$B$390&amp;" * "&amp;J80</f>
        <v>soft_carbon * soft_PE_WG_INC_mass_pyrolysis</v>
      </c>
      <c r="N406" s="14"/>
    </row>
    <row r="407" spans="1:42" x14ac:dyDescent="0.2">
      <c r="A407" s="14"/>
      <c r="B407" s="220"/>
      <c r="C407" s="6" t="str">
        <f t="shared" si="67"/>
        <v>PP</v>
      </c>
      <c r="D407" t="s">
        <v>1614</v>
      </c>
      <c r="E407">
        <f>$C$390*E81</f>
        <v>0</v>
      </c>
      <c r="F407" t="s">
        <v>96</v>
      </c>
      <c r="G407" s="32" t="str">
        <f>$B$390&amp;" * "&amp;D81</f>
        <v>soft_carbon * soft_PP_WG_SS_mass_pyrolysis</v>
      </c>
      <c r="H407" s="220"/>
      <c r="I407" s="6" t="str">
        <f t="shared" si="69"/>
        <v>PP</v>
      </c>
      <c r="J407" t="s">
        <v>1593</v>
      </c>
      <c r="K407">
        <f>$C$390*K81</f>
        <v>0</v>
      </c>
      <c r="L407" t="s">
        <v>96</v>
      </c>
      <c r="M407" t="str">
        <f>$B$390&amp;" * "&amp;J81</f>
        <v>soft_carbon * soft_PP_WG_INC_mass_pyrolysis</v>
      </c>
      <c r="N407" s="14"/>
    </row>
    <row r="408" spans="1:42" x14ac:dyDescent="0.2">
      <c r="A408" s="14"/>
      <c r="B408" s="220"/>
      <c r="C408" s="6" t="str">
        <f t="shared" si="67"/>
        <v>PS</v>
      </c>
      <c r="D408" t="s">
        <v>1615</v>
      </c>
      <c r="E408">
        <f>$C$390*E82</f>
        <v>0</v>
      </c>
      <c r="F408" t="s">
        <v>96</v>
      </c>
      <c r="G408" s="32" t="str">
        <f>$B$390&amp;" * "&amp;D82</f>
        <v>soft_carbon * soft_PS_WG_SS_mass_pyrolysis</v>
      </c>
      <c r="H408" s="220"/>
      <c r="I408" s="6" t="str">
        <f t="shared" si="69"/>
        <v>PS</v>
      </c>
      <c r="J408" t="s">
        <v>1594</v>
      </c>
      <c r="K408">
        <f>$C$390*K82</f>
        <v>0</v>
      </c>
      <c r="L408" t="s">
        <v>96</v>
      </c>
      <c r="M408" t="str">
        <f>$B$390&amp;" * "&amp;J82</f>
        <v>soft_carbon * soft_PS_WG_INC_mass_pyrolysis</v>
      </c>
      <c r="N408" s="14"/>
    </row>
    <row r="409" spans="1:42" s="2" customFormat="1" x14ac:dyDescent="0.2">
      <c r="A409" s="14"/>
      <c r="B409" s="220"/>
      <c r="C409" s="6" t="str">
        <f t="shared" si="67"/>
        <v>Other</v>
      </c>
      <c r="D409" t="s">
        <v>1616</v>
      </c>
      <c r="E409">
        <f>$C$390*E83</f>
        <v>70.086240000000018</v>
      </c>
      <c r="F409" t="s">
        <v>96</v>
      </c>
      <c r="G409" s="32" t="str">
        <f>$B$390&amp;" * "&amp;D83</f>
        <v>soft_carbon * soft_Oth_WG_SS_mass_pyrolysis</v>
      </c>
      <c r="H409" s="220"/>
      <c r="I409" s="6" t="str">
        <f t="shared" si="69"/>
        <v>Other</v>
      </c>
      <c r="J409" t="s">
        <v>1595</v>
      </c>
      <c r="K409">
        <f>$C$390*K83</f>
        <v>0</v>
      </c>
      <c r="L409" t="s">
        <v>96</v>
      </c>
      <c r="M409" t="str">
        <f>$B$390&amp;" * "&amp;J83</f>
        <v>soft_carbon * soft_Oth_WG_INC_mass_pyrolysis</v>
      </c>
      <c r="N409" s="14"/>
      <c r="O409"/>
      <c r="P409"/>
      <c r="Q409"/>
      <c r="R409"/>
      <c r="S409"/>
      <c r="T409"/>
      <c r="U409"/>
      <c r="V409"/>
      <c r="W409"/>
      <c r="X409"/>
      <c r="Y409"/>
      <c r="Z409"/>
      <c r="AA409"/>
      <c r="AB409"/>
      <c r="AC409"/>
      <c r="AD409"/>
      <c r="AE409"/>
      <c r="AF409"/>
      <c r="AG409"/>
      <c r="AH409"/>
      <c r="AI409"/>
      <c r="AJ409"/>
      <c r="AK409"/>
      <c r="AL409"/>
      <c r="AM409"/>
      <c r="AN409"/>
      <c r="AO409"/>
      <c r="AP409"/>
    </row>
    <row r="410" spans="1:42" s="2" customFormat="1" x14ac:dyDescent="0.2">
      <c r="A410" s="14"/>
      <c r="B410" s="220" t="s">
        <v>19</v>
      </c>
      <c r="C410" s="6" t="str">
        <f t="shared" si="67"/>
        <v>PET</v>
      </c>
      <c r="D410" t="s">
        <v>1617</v>
      </c>
      <c r="E410">
        <f>$C$391*E84</f>
        <v>0</v>
      </c>
      <c r="F410" t="s">
        <v>96</v>
      </c>
      <c r="G410" s="32" t="str">
        <f>$B$391&amp;" * "&amp;D84</f>
        <v>nonrec_carbon * other_PET_WG_SS_mass_pyrolysis</v>
      </c>
      <c r="H410" s="220" t="s">
        <v>19</v>
      </c>
      <c r="I410" s="6" t="str">
        <f t="shared" si="69"/>
        <v>PET</v>
      </c>
      <c r="J410" t="s">
        <v>1596</v>
      </c>
      <c r="K410">
        <f>$C$391*K84</f>
        <v>0</v>
      </c>
      <c r="L410" t="s">
        <v>96</v>
      </c>
      <c r="M410" t="str">
        <f>$B$391&amp;" * "&amp;J84</f>
        <v>nonrec_carbon * other_PET_WG_INC_mass_pyrolysis</v>
      </c>
      <c r="N410" s="14"/>
      <c r="O410"/>
      <c r="P410"/>
      <c r="Q410"/>
      <c r="R410"/>
      <c r="S410"/>
      <c r="T410"/>
      <c r="U410"/>
      <c r="V410"/>
      <c r="W410"/>
      <c r="X410"/>
      <c r="Y410"/>
      <c r="Z410"/>
      <c r="AA410"/>
      <c r="AB410"/>
      <c r="AC410"/>
      <c r="AD410"/>
      <c r="AE410"/>
      <c r="AF410"/>
      <c r="AG410"/>
      <c r="AH410"/>
      <c r="AI410"/>
      <c r="AJ410"/>
      <c r="AK410"/>
      <c r="AL410"/>
      <c r="AM410"/>
      <c r="AN410"/>
      <c r="AO410"/>
      <c r="AP410"/>
    </row>
    <row r="411" spans="1:42" x14ac:dyDescent="0.2">
      <c r="A411" s="14"/>
      <c r="B411" s="220"/>
      <c r="C411" s="6" t="str">
        <f t="shared" si="67"/>
        <v>PE</v>
      </c>
      <c r="D411" t="s">
        <v>1618</v>
      </c>
      <c r="E411">
        <f>$C$391*E85</f>
        <v>0</v>
      </c>
      <c r="F411" t="s">
        <v>96</v>
      </c>
      <c r="G411" s="32" t="str">
        <f>$B$391&amp;" * "&amp;D85</f>
        <v>nonrec_carbon * other_PE_WG_SS_mass_pyrolysis</v>
      </c>
      <c r="H411" s="220"/>
      <c r="I411" s="6" t="str">
        <f t="shared" si="69"/>
        <v>PE</v>
      </c>
      <c r="J411" t="s">
        <v>1597</v>
      </c>
      <c r="K411">
        <f>$C$391*K85</f>
        <v>0</v>
      </c>
      <c r="L411" t="s">
        <v>96</v>
      </c>
      <c r="M411" t="str">
        <f>$B$391&amp;" * "&amp;J85</f>
        <v>nonrec_carbon * other_PE_WG_INC_mass_pyrolysis</v>
      </c>
      <c r="N411" s="14"/>
    </row>
    <row r="412" spans="1:42" x14ac:dyDescent="0.2">
      <c r="A412" s="14"/>
      <c r="B412" s="220"/>
      <c r="C412" s="6" t="str">
        <f t="shared" si="67"/>
        <v>PP</v>
      </c>
      <c r="D412" t="s">
        <v>1619</v>
      </c>
      <c r="E412">
        <f>$C$391*E86</f>
        <v>0</v>
      </c>
      <c r="F412" t="s">
        <v>96</v>
      </c>
      <c r="G412" s="32" t="str">
        <f>$B$391&amp;" * "&amp;D86</f>
        <v>nonrec_carbon * other_PP_WG_SS_mass_pyrolysis</v>
      </c>
      <c r="H412" s="220"/>
      <c r="I412" s="6" t="str">
        <f t="shared" si="69"/>
        <v>PP</v>
      </c>
      <c r="J412" t="s">
        <v>1598</v>
      </c>
      <c r="K412">
        <f>$C$391*K86</f>
        <v>0</v>
      </c>
      <c r="L412" t="s">
        <v>96</v>
      </c>
      <c r="M412" t="str">
        <f>$B$391&amp;" * "&amp;J86</f>
        <v>nonrec_carbon * other_PP_WG_INC_mass_pyrolysis</v>
      </c>
      <c r="N412" s="14"/>
    </row>
    <row r="413" spans="1:42" x14ac:dyDescent="0.2">
      <c r="A413" s="14"/>
      <c r="B413" s="220"/>
      <c r="C413" s="6" t="str">
        <f t="shared" si="67"/>
        <v>PS</v>
      </c>
      <c r="D413" t="s">
        <v>1620</v>
      </c>
      <c r="E413">
        <f>$C$391*E87</f>
        <v>0</v>
      </c>
      <c r="F413" t="s">
        <v>96</v>
      </c>
      <c r="G413" s="32" t="str">
        <f>$B$391&amp;" * "&amp;D87</f>
        <v>nonrec_carbon * other_PS_WG_SS_mass_pyrolysis</v>
      </c>
      <c r="H413" s="220"/>
      <c r="I413" s="6" t="str">
        <f t="shared" si="69"/>
        <v>PS</v>
      </c>
      <c r="J413" t="s">
        <v>1599</v>
      </c>
      <c r="K413">
        <f>$C$391*K87</f>
        <v>0</v>
      </c>
      <c r="L413" t="s">
        <v>96</v>
      </c>
      <c r="M413" t="str">
        <f>$B$391&amp;" * "&amp;J87</f>
        <v>nonrec_carbon * other_PS_WG_INC_mass_pyrolysis</v>
      </c>
      <c r="N413" s="14"/>
    </row>
    <row r="414" spans="1:42" x14ac:dyDescent="0.2">
      <c r="A414" s="14"/>
      <c r="B414" s="227"/>
      <c r="C414" s="60" t="str">
        <f t="shared" si="67"/>
        <v>Other</v>
      </c>
      <c r="D414" s="44" t="s">
        <v>1621</v>
      </c>
      <c r="E414" s="44">
        <f>$C$391*E88</f>
        <v>65.587399999999946</v>
      </c>
      <c r="F414" s="44" t="s">
        <v>96</v>
      </c>
      <c r="G414" s="32" t="str">
        <f>$B$391&amp;" * "&amp;D88</f>
        <v>nonrec_carbon * other_Oth_WG_SS_mass_pyrolysis</v>
      </c>
      <c r="H414" s="220"/>
      <c r="I414" s="6" t="str">
        <f t="shared" si="69"/>
        <v>Other</v>
      </c>
      <c r="J414" t="s">
        <v>1600</v>
      </c>
      <c r="K414">
        <f>$C$391*K88</f>
        <v>0</v>
      </c>
      <c r="L414" t="s">
        <v>96</v>
      </c>
      <c r="M414" t="str">
        <f>$B$391&amp;" * "&amp;J88</f>
        <v>nonrec_carbon * other_Oth_WG_INC_mass_pyrolysis</v>
      </c>
      <c r="N414" s="14"/>
    </row>
    <row r="415" spans="1:42" ht="25" customHeight="1" x14ac:dyDescent="0.2">
      <c r="A415" s="14"/>
      <c r="B415" s="214" t="s">
        <v>45</v>
      </c>
      <c r="C415" s="214"/>
      <c r="D415" s="214"/>
      <c r="E415" s="214"/>
      <c r="F415" s="214"/>
      <c r="G415" s="214"/>
      <c r="H415" s="214"/>
      <c r="I415" s="214"/>
      <c r="J415" s="214"/>
      <c r="K415" s="214"/>
      <c r="L415" s="214"/>
      <c r="M415" s="214"/>
      <c r="N415" s="14"/>
    </row>
    <row r="416" spans="1:42" x14ac:dyDescent="0.2">
      <c r="A416" s="14"/>
      <c r="B416" s="53" t="s">
        <v>46</v>
      </c>
      <c r="C416" s="10" t="s">
        <v>3</v>
      </c>
      <c r="D416" s="10" t="s">
        <v>4</v>
      </c>
      <c r="E416" s="53" t="s">
        <v>7</v>
      </c>
      <c r="F416" s="10"/>
      <c r="G416" s="40"/>
      <c r="H416" s="53" t="s">
        <v>49</v>
      </c>
      <c r="I416" s="53" t="s">
        <v>3</v>
      </c>
      <c r="J416" s="53" t="s">
        <v>4</v>
      </c>
      <c r="K416" s="53" t="s">
        <v>7</v>
      </c>
      <c r="L416" s="10"/>
      <c r="M416" s="10"/>
      <c r="N416" s="14"/>
    </row>
    <row r="417" spans="1:14" x14ac:dyDescent="0.2">
      <c r="A417" s="14"/>
      <c r="B417" t="s">
        <v>1999</v>
      </c>
      <c r="C417">
        <f>SUM(E395:E399)</f>
        <v>206.20799999999997</v>
      </c>
      <c r="D417" t="s">
        <v>96</v>
      </c>
      <c r="E417" t="s">
        <v>1131</v>
      </c>
      <c r="F417" s="2"/>
      <c r="G417" s="4"/>
      <c r="H417" t="s">
        <v>2004</v>
      </c>
      <c r="I417">
        <f>SUM(K395:K399)</f>
        <v>0</v>
      </c>
      <c r="J417" t="s">
        <v>96</v>
      </c>
      <c r="K417" t="s">
        <v>1946</v>
      </c>
      <c r="L417" s="2"/>
      <c r="M417" s="2"/>
      <c r="N417" s="14"/>
    </row>
    <row r="418" spans="1:14" x14ac:dyDescent="0.2">
      <c r="A418" s="14"/>
      <c r="B418" t="s">
        <v>2000</v>
      </c>
      <c r="C418">
        <f>SUM(E400:E404)</f>
        <v>153.91200000000001</v>
      </c>
      <c r="D418" t="str">
        <f>D417</f>
        <v>kg C</v>
      </c>
      <c r="E418" t="s">
        <v>1132</v>
      </c>
      <c r="F418" s="2"/>
      <c r="G418" s="4"/>
      <c r="H418" t="s">
        <v>2005</v>
      </c>
      <c r="I418">
        <f>SUM(K400:K404)</f>
        <v>0</v>
      </c>
      <c r="J418" t="str">
        <f>J417</f>
        <v>kg C</v>
      </c>
      <c r="K418" t="s">
        <v>1947</v>
      </c>
      <c r="L418" s="2"/>
      <c r="M418" s="2"/>
      <c r="N418" s="14"/>
    </row>
    <row r="419" spans="1:14" x14ac:dyDescent="0.2">
      <c r="A419" s="14"/>
      <c r="B419" t="s">
        <v>2001</v>
      </c>
      <c r="C419">
        <f>SUM(E405:E409)</f>
        <v>280.34496000000001</v>
      </c>
      <c r="D419" t="str">
        <f>D418</f>
        <v>kg C</v>
      </c>
      <c r="E419" t="s">
        <v>1133</v>
      </c>
      <c r="F419" s="2"/>
      <c r="G419" s="4"/>
      <c r="H419" t="s">
        <v>2006</v>
      </c>
      <c r="I419">
        <f>SUM(K405:K409)</f>
        <v>0</v>
      </c>
      <c r="J419" t="s">
        <v>96</v>
      </c>
      <c r="K419" t="s">
        <v>1948</v>
      </c>
      <c r="L419" s="2"/>
      <c r="M419" s="2"/>
      <c r="N419" s="14"/>
    </row>
    <row r="420" spans="1:14" ht="16" thickBot="1" x14ac:dyDescent="0.25">
      <c r="A420" s="14"/>
      <c r="B420" s="8" t="s">
        <v>2002</v>
      </c>
      <c r="C420" s="8">
        <f>SUM(E410:E414)</f>
        <v>65.587399999999946</v>
      </c>
      <c r="D420" s="8" t="s">
        <v>96</v>
      </c>
      <c r="E420" s="8" t="s">
        <v>1134</v>
      </c>
      <c r="F420" s="8"/>
      <c r="G420" s="87"/>
      <c r="H420" s="8" t="s">
        <v>2007</v>
      </c>
      <c r="I420" s="88">
        <f>SUM(K410:K414)</f>
        <v>0</v>
      </c>
      <c r="J420" s="8" t="s">
        <v>96</v>
      </c>
      <c r="K420" s="8" t="s">
        <v>1949</v>
      </c>
      <c r="L420" s="8"/>
      <c r="M420" s="8"/>
      <c r="N420" s="14"/>
    </row>
    <row r="421" spans="1:14" ht="16" thickTop="1" x14ac:dyDescent="0.2">
      <c r="A421" s="14"/>
      <c r="B421" s="44" t="s">
        <v>2003</v>
      </c>
      <c r="C421" s="44">
        <f>SUM(C417:C420)</f>
        <v>706.05235999999991</v>
      </c>
      <c r="D421" s="44" t="s">
        <v>96</v>
      </c>
      <c r="E421" s="44" t="s">
        <v>1944</v>
      </c>
      <c r="F421" s="56"/>
      <c r="G421" s="57"/>
      <c r="H421" s="44" t="s">
        <v>1601</v>
      </c>
      <c r="I421" s="44">
        <f>SUM(I417:I420)</f>
        <v>0</v>
      </c>
      <c r="J421" s="44" t="s">
        <v>96</v>
      </c>
      <c r="K421" s="44" t="s">
        <v>1950</v>
      </c>
      <c r="L421" s="56"/>
      <c r="M421" s="56"/>
      <c r="N421" s="14"/>
    </row>
    <row r="422" spans="1:14" x14ac:dyDescent="0.2">
      <c r="A422" s="14"/>
      <c r="B422" s="125" t="s">
        <v>2704</v>
      </c>
      <c r="C422" s="125" t="str">
        <f>IF(C421+I421=C388*(C40*C42)+C389*(C40*C43)+C390*(C40*C44)+C391*(C40*C45),"true")</f>
        <v>true</v>
      </c>
      <c r="D422" s="125"/>
      <c r="E422" s="125"/>
      <c r="F422" s="125"/>
      <c r="G422" s="125"/>
      <c r="H422" s="125"/>
      <c r="I422" s="125"/>
      <c r="J422" s="125"/>
      <c r="K422" s="125"/>
      <c r="L422" s="125"/>
      <c r="M422" s="125"/>
      <c r="N422" s="14"/>
    </row>
    <row r="423" spans="1:14" x14ac:dyDescent="0.2">
      <c r="A423" s="14"/>
      <c r="B423" s="14"/>
      <c r="C423" s="14"/>
      <c r="D423" s="14"/>
      <c r="E423" s="14"/>
      <c r="F423" s="14"/>
      <c r="G423" s="14"/>
      <c r="H423" s="14"/>
      <c r="I423" s="14"/>
      <c r="J423" s="14"/>
      <c r="K423" s="14"/>
      <c r="L423" s="14"/>
      <c r="M423" s="14"/>
      <c r="N423" s="14"/>
    </row>
    <row r="424" spans="1:14" x14ac:dyDescent="0.2">
      <c r="A424" s="14"/>
      <c r="B424" s="14"/>
      <c r="C424" s="14"/>
      <c r="D424" s="14"/>
      <c r="E424" s="14"/>
      <c r="F424" s="14"/>
      <c r="G424" s="14"/>
      <c r="H424" s="14"/>
      <c r="I424" s="14"/>
      <c r="J424" s="14"/>
      <c r="K424" s="14"/>
      <c r="L424" s="14"/>
      <c r="M424" s="14"/>
      <c r="N424" s="14"/>
    </row>
    <row r="425" spans="1:14" x14ac:dyDescent="0.2">
      <c r="A425" s="14"/>
      <c r="B425" s="14"/>
      <c r="C425" s="14"/>
      <c r="D425" s="14"/>
      <c r="E425" s="14"/>
      <c r="F425" s="14"/>
      <c r="G425" s="14"/>
      <c r="H425" s="14"/>
      <c r="I425" s="14"/>
      <c r="J425" s="14"/>
      <c r="K425" s="14"/>
      <c r="L425" s="14"/>
      <c r="M425" s="14"/>
      <c r="N425" s="14"/>
    </row>
    <row r="426" spans="1:14" x14ac:dyDescent="0.2">
      <c r="A426" s="14"/>
      <c r="B426" s="14"/>
      <c r="C426" s="14"/>
      <c r="D426" s="14"/>
      <c r="E426" s="14"/>
      <c r="F426" s="14"/>
      <c r="G426" s="14"/>
      <c r="H426" s="14"/>
      <c r="I426" s="14"/>
      <c r="J426" s="14"/>
      <c r="K426" s="14"/>
      <c r="L426" s="14"/>
      <c r="M426" s="14"/>
      <c r="N426" s="14"/>
    </row>
    <row r="427" spans="1:14" ht="25" customHeight="1" x14ac:dyDescent="0.2">
      <c r="A427" s="14"/>
      <c r="B427" s="214" t="s">
        <v>51</v>
      </c>
      <c r="C427" s="214"/>
      <c r="D427" s="214"/>
      <c r="E427" s="214"/>
      <c r="F427" s="214"/>
      <c r="G427" s="214"/>
      <c r="H427" s="214"/>
      <c r="I427" s="214"/>
      <c r="J427" s="214"/>
      <c r="K427" s="214"/>
      <c r="L427" s="214"/>
      <c r="M427" s="214"/>
      <c r="N427" s="14"/>
    </row>
    <row r="428" spans="1:14" ht="25" customHeight="1" x14ac:dyDescent="0.2">
      <c r="A428" s="14"/>
      <c r="B428" s="214" t="s">
        <v>53</v>
      </c>
      <c r="C428" s="214"/>
      <c r="D428" s="214"/>
      <c r="E428" s="214"/>
      <c r="F428" s="214"/>
      <c r="G428" s="214"/>
      <c r="H428" s="214"/>
      <c r="I428" s="214"/>
      <c r="J428" s="214"/>
      <c r="K428" s="214"/>
      <c r="L428" s="214"/>
      <c r="M428" s="214"/>
      <c r="N428" s="14"/>
    </row>
    <row r="429" spans="1:14" ht="25" customHeight="1" x14ac:dyDescent="0.2">
      <c r="A429" s="14"/>
      <c r="B429" s="214" t="s">
        <v>54</v>
      </c>
      <c r="C429" s="214"/>
      <c r="D429" s="214"/>
      <c r="E429" s="214"/>
      <c r="F429" s="214"/>
      <c r="G429" s="223"/>
      <c r="H429" s="214" t="s">
        <v>48</v>
      </c>
      <c r="I429" s="214"/>
      <c r="J429" s="214"/>
      <c r="K429" s="214"/>
      <c r="L429" s="214"/>
      <c r="M429" s="214"/>
      <c r="N429" s="14"/>
    </row>
    <row r="430" spans="1:14" x14ac:dyDescent="0.2">
      <c r="A430" s="14"/>
      <c r="B430" s="2" t="s">
        <v>21</v>
      </c>
      <c r="C430" s="3" t="s">
        <v>20</v>
      </c>
      <c r="D430" s="2" t="s">
        <v>99</v>
      </c>
      <c r="E430" s="2" t="s">
        <v>3</v>
      </c>
      <c r="F430" s="2" t="s">
        <v>4</v>
      </c>
      <c r="G430" s="4" t="s">
        <v>43</v>
      </c>
      <c r="H430" s="2" t="s">
        <v>21</v>
      </c>
      <c r="I430" s="3" t="s">
        <v>20</v>
      </c>
      <c r="J430" s="2" t="str">
        <f>D430</f>
        <v>Name</v>
      </c>
      <c r="K430" s="2" t="s">
        <v>3</v>
      </c>
      <c r="L430" s="2" t="s">
        <v>4</v>
      </c>
      <c r="M430" s="2" t="s">
        <v>43</v>
      </c>
      <c r="N430" s="14"/>
    </row>
    <row r="431" spans="1:14" x14ac:dyDescent="0.2">
      <c r="A431" s="14"/>
      <c r="B431" s="220" t="s">
        <v>14</v>
      </c>
      <c r="C431" s="6" t="str">
        <f>C395</f>
        <v>PET</v>
      </c>
      <c r="D431" t="s">
        <v>2671</v>
      </c>
      <c r="E431" s="33">
        <f>$C$388*E114</f>
        <v>142.28351999999998</v>
      </c>
      <c r="F431" t="s">
        <v>96</v>
      </c>
      <c r="G431" s="32" t="str">
        <f>$B$388&amp;" * "&amp;D114</f>
        <v>bottle_carbon * bottle_PET_SS_PRE_mass_pyrolysis</v>
      </c>
      <c r="H431" s="220" t="s">
        <v>14</v>
      </c>
      <c r="I431" s="6" t="str">
        <f>C431</f>
        <v>PET</v>
      </c>
      <c r="J431" t="s">
        <v>1636</v>
      </c>
      <c r="K431" s="33">
        <f>E395-E431</f>
        <v>15.809280000000001</v>
      </c>
      <c r="L431" t="s">
        <v>96</v>
      </c>
      <c r="M431" t="str">
        <f>D395&amp;" - "&amp;D431</f>
        <v>bottle_PET_WG_SS_carbon_pyrolysis - bottle_PET_SS_PRE_carbon_pyrolysis</v>
      </c>
      <c r="N431" s="14"/>
    </row>
    <row r="432" spans="1:14" x14ac:dyDescent="0.2">
      <c r="A432" s="14"/>
      <c r="B432" s="220"/>
      <c r="C432" s="6" t="str">
        <f t="shared" ref="C432:C450" si="70">C396</f>
        <v>PE</v>
      </c>
      <c r="D432" t="s">
        <v>1622</v>
      </c>
      <c r="E432" s="33">
        <f>$C$388*E115</f>
        <v>43.30368</v>
      </c>
      <c r="F432" t="str">
        <f t="shared" ref="F432:F450" si="71">F431</f>
        <v>kg C</v>
      </c>
      <c r="G432" s="32" t="str">
        <f>$B$388&amp;" * "&amp;D115</f>
        <v>bottle_carbon * bottle_PE_SS_PRE_mass_pyrolysis</v>
      </c>
      <c r="H432" s="220"/>
      <c r="I432" s="6" t="str">
        <f t="shared" ref="I432:I450" si="72">C432</f>
        <v>PE</v>
      </c>
      <c r="J432" t="s">
        <v>1637</v>
      </c>
      <c r="K432" s="33">
        <f t="shared" ref="K432:K450" si="73">E396-E432</f>
        <v>4.8115200000000016</v>
      </c>
      <c r="L432" t="str">
        <f t="shared" ref="L432:L445" si="74">L431</f>
        <v>kg C</v>
      </c>
      <c r="M432" t="str">
        <f t="shared" ref="M432:M450" si="75">D396&amp;" - "&amp;D432</f>
        <v>bottle_PE_WG_SS_carbon_pyrolysis - bottle_PE_SS_PRE_carbon_pyrolysis</v>
      </c>
      <c r="N432" s="14"/>
    </row>
    <row r="433" spans="1:14" x14ac:dyDescent="0.2">
      <c r="A433" s="14"/>
      <c r="B433" s="220"/>
      <c r="C433" s="6" t="str">
        <f t="shared" si="70"/>
        <v>PP</v>
      </c>
      <c r="D433" t="s">
        <v>1623</v>
      </c>
      <c r="E433" s="33">
        <f>$C$388*E116</f>
        <v>0</v>
      </c>
      <c r="F433" t="str">
        <f t="shared" si="71"/>
        <v>kg C</v>
      </c>
      <c r="G433" s="32" t="str">
        <f>$B$388&amp;" * "&amp;D116</f>
        <v>bottle_carbon * bottle_PP_SS_PRE_mass_pyrolysis</v>
      </c>
      <c r="H433" s="220"/>
      <c r="I433" s="6" t="str">
        <f t="shared" si="72"/>
        <v>PP</v>
      </c>
      <c r="J433" t="s">
        <v>1638</v>
      </c>
      <c r="K433" s="33">
        <f t="shared" si="73"/>
        <v>0</v>
      </c>
      <c r="L433" t="str">
        <f t="shared" si="74"/>
        <v>kg C</v>
      </c>
      <c r="M433" t="str">
        <f t="shared" si="75"/>
        <v>bottle_PP_WG_SS_carbon_pyrolysis - bottle_PP_SS_PRE_carbon_pyrolysis</v>
      </c>
      <c r="N433" s="14"/>
    </row>
    <row r="434" spans="1:14" x14ac:dyDescent="0.2">
      <c r="A434" s="14"/>
      <c r="B434" s="220"/>
      <c r="C434" s="6" t="str">
        <f t="shared" si="70"/>
        <v>PS</v>
      </c>
      <c r="D434" t="s">
        <v>1624</v>
      </c>
      <c r="E434" s="33">
        <f>$C$388*E117</f>
        <v>0</v>
      </c>
      <c r="F434" t="str">
        <f t="shared" si="71"/>
        <v>kg C</v>
      </c>
      <c r="G434" s="32" t="str">
        <f>$B$388&amp;" * "&amp;D117</f>
        <v>bottle_carbon * bottle_PS_SS_PRE_mass_pyrolysis</v>
      </c>
      <c r="H434" s="220"/>
      <c r="I434" s="6" t="str">
        <f t="shared" si="72"/>
        <v>PS</v>
      </c>
      <c r="J434" t="s">
        <v>1639</v>
      </c>
      <c r="K434" s="33">
        <f t="shared" si="73"/>
        <v>0</v>
      </c>
      <c r="L434" t="str">
        <f t="shared" si="74"/>
        <v>kg C</v>
      </c>
      <c r="M434" t="str">
        <f t="shared" si="75"/>
        <v>bottle_PS_WG_SS_carbon_pyrolysis - bottle_PS_SS_PRE_carbon_pyrolysis</v>
      </c>
      <c r="N434" s="14"/>
    </row>
    <row r="435" spans="1:14" x14ac:dyDescent="0.2">
      <c r="A435" s="14"/>
      <c r="B435" s="220"/>
      <c r="C435" s="6" t="str">
        <f t="shared" si="70"/>
        <v>Other</v>
      </c>
      <c r="D435" t="s">
        <v>1625</v>
      </c>
      <c r="E435" s="33">
        <f>$C$388*E118</f>
        <v>0</v>
      </c>
      <c r="F435" t="str">
        <f t="shared" si="71"/>
        <v>kg C</v>
      </c>
      <c r="G435" s="32" t="str">
        <f>$B$388&amp;" * "&amp;D118</f>
        <v>bottle_carbon * bottle_Oth_SS_PRE_mass_pyrolysis</v>
      </c>
      <c r="H435" s="220"/>
      <c r="I435" s="6" t="str">
        <f t="shared" si="72"/>
        <v>Other</v>
      </c>
      <c r="J435" t="s">
        <v>1640</v>
      </c>
      <c r="K435" s="33">
        <f t="shared" si="73"/>
        <v>0</v>
      </c>
      <c r="L435" t="str">
        <f t="shared" si="74"/>
        <v>kg C</v>
      </c>
      <c r="M435" t="str">
        <f t="shared" si="75"/>
        <v>bottle_Oth_WG_SS_carbon_pyrolysis - bottle_Oth_SS_PRE_carbon_pyrolysis</v>
      </c>
      <c r="N435" s="14"/>
    </row>
    <row r="436" spans="1:14" x14ac:dyDescent="0.2">
      <c r="A436" s="14"/>
      <c r="B436" s="220" t="s">
        <v>15</v>
      </c>
      <c r="C436" s="6" t="str">
        <f t="shared" si="70"/>
        <v>PET</v>
      </c>
      <c r="D436" t="s">
        <v>1626</v>
      </c>
      <c r="E436" s="33">
        <f>$C$389*E119</f>
        <v>27.704160000000002</v>
      </c>
      <c r="F436" t="str">
        <f t="shared" si="71"/>
        <v>kg C</v>
      </c>
      <c r="G436" s="32" t="str">
        <f>$B$389&amp;" * "&amp;D119</f>
        <v>rigid_carbon * rigid_PET_SS_PRE_mass_pyrolysis</v>
      </c>
      <c r="H436" s="220" t="s">
        <v>15</v>
      </c>
      <c r="I436" s="6" t="str">
        <f t="shared" si="72"/>
        <v>PET</v>
      </c>
      <c r="J436" t="s">
        <v>1641</v>
      </c>
      <c r="K436" s="33">
        <f t="shared" si="73"/>
        <v>3.078240000000001</v>
      </c>
      <c r="L436" t="str">
        <f t="shared" si="74"/>
        <v>kg C</v>
      </c>
      <c r="M436" t="str">
        <f t="shared" si="75"/>
        <v>rigid_PET_WG_SS_carbon_pyrolysis - rigid_PET_SS_PRE_carbon_pyrolysis</v>
      </c>
      <c r="N436" s="14"/>
    </row>
    <row r="437" spans="1:14" x14ac:dyDescent="0.2">
      <c r="A437" s="14"/>
      <c r="B437" s="220"/>
      <c r="C437" s="6" t="str">
        <f t="shared" si="70"/>
        <v>PE</v>
      </c>
      <c r="D437" t="s">
        <v>1627</v>
      </c>
      <c r="E437" s="33">
        <f>$C$389*E120</f>
        <v>20.778120000000001</v>
      </c>
      <c r="F437" t="str">
        <f t="shared" si="71"/>
        <v>kg C</v>
      </c>
      <c r="G437" s="32" t="str">
        <f>$B$389&amp;" * "&amp;D120</f>
        <v>rigid_carbon * rigid_PE_SS_PRE_mass_pyrolysis</v>
      </c>
      <c r="H437" s="220"/>
      <c r="I437" s="6" t="str">
        <f t="shared" si="72"/>
        <v>PE</v>
      </c>
      <c r="J437" t="s">
        <v>1642</v>
      </c>
      <c r="K437" s="33">
        <f t="shared" si="73"/>
        <v>2.308679999999999</v>
      </c>
      <c r="L437" t="str">
        <f t="shared" si="74"/>
        <v>kg C</v>
      </c>
      <c r="M437" t="str">
        <f t="shared" si="75"/>
        <v>rigid_PE_WG_SS_carbon_pyrolysis - rigid_PE_SS_PRE_carbon_pyrolysis</v>
      </c>
      <c r="N437" s="14"/>
    </row>
    <row r="438" spans="1:14" x14ac:dyDescent="0.2">
      <c r="A438" s="14"/>
      <c r="B438" s="220"/>
      <c r="C438" s="6" t="str">
        <f t="shared" si="70"/>
        <v>PP</v>
      </c>
      <c r="D438" t="s">
        <v>1628</v>
      </c>
      <c r="E438" s="33">
        <f>$C$389*E121</f>
        <v>48.482280000000003</v>
      </c>
      <c r="F438" t="str">
        <f t="shared" si="71"/>
        <v>kg C</v>
      </c>
      <c r="G438" s="32" t="str">
        <f>$B$389&amp;" * "&amp;D121</f>
        <v>rigid_carbon * rigid_PP_SS_PRE_mass_pyrolysis</v>
      </c>
      <c r="H438" s="220"/>
      <c r="I438" s="6" t="str">
        <f t="shared" si="72"/>
        <v>PP</v>
      </c>
      <c r="J438" t="s">
        <v>1643</v>
      </c>
      <c r="K438" s="33">
        <f t="shared" si="73"/>
        <v>5.3869199999999964</v>
      </c>
      <c r="L438" t="str">
        <f t="shared" si="74"/>
        <v>kg C</v>
      </c>
      <c r="M438" t="str">
        <f t="shared" si="75"/>
        <v>rigid_PP_WG_SS_carbon_pyrolysis - rigid_PP_SS_PRE_carbon_pyrolysis</v>
      </c>
      <c r="N438" s="14"/>
    </row>
    <row r="439" spans="1:14" x14ac:dyDescent="0.2">
      <c r="A439" s="14"/>
      <c r="B439" s="220"/>
      <c r="C439" s="6" t="str">
        <f t="shared" si="70"/>
        <v>PS</v>
      </c>
      <c r="D439" t="s">
        <v>1629</v>
      </c>
      <c r="E439" s="33">
        <f>$C$389*E122</f>
        <v>6.9260400000000004</v>
      </c>
      <c r="F439" t="str">
        <f t="shared" si="71"/>
        <v>kg C</v>
      </c>
      <c r="G439" s="32" t="str">
        <f>$B$389&amp;" * "&amp;D122</f>
        <v>rigid_carbon * rigid_PS_SS_PRE_mass_pyrolysis</v>
      </c>
      <c r="H439" s="220"/>
      <c r="I439" s="6" t="str">
        <f t="shared" si="72"/>
        <v>PS</v>
      </c>
      <c r="J439" t="s">
        <v>1644</v>
      </c>
      <c r="K439" s="33">
        <f t="shared" si="73"/>
        <v>0.76956000000000024</v>
      </c>
      <c r="L439" t="str">
        <f t="shared" si="74"/>
        <v>kg C</v>
      </c>
      <c r="M439" t="str">
        <f t="shared" si="75"/>
        <v>rigid_PS_WG_SS_carbon_pyrolysis - rigid_PS_SS_PRE_carbon_pyrolysis</v>
      </c>
      <c r="N439" s="14"/>
    </row>
    <row r="440" spans="1:14" x14ac:dyDescent="0.2">
      <c r="A440" s="14"/>
      <c r="B440" s="220"/>
      <c r="C440" s="6" t="str">
        <f t="shared" si="70"/>
        <v>Other</v>
      </c>
      <c r="D440" t="s">
        <v>1630</v>
      </c>
      <c r="E440" s="33">
        <f>$C$389*E123</f>
        <v>34.630199999999988</v>
      </c>
      <c r="F440" t="str">
        <f t="shared" si="71"/>
        <v>kg C</v>
      </c>
      <c r="G440" s="32" t="str">
        <f>$B$389&amp;" * "&amp;D123</f>
        <v>rigid_carbon * rigid_Oth_SS_PRE_mass_pyrolysis</v>
      </c>
      <c r="H440" s="220"/>
      <c r="I440" s="6" t="str">
        <f t="shared" si="72"/>
        <v>Other</v>
      </c>
      <c r="J440" t="s">
        <v>1645</v>
      </c>
      <c r="K440" s="33">
        <f t="shared" si="73"/>
        <v>3.8477999999999994</v>
      </c>
      <c r="L440" t="str">
        <f t="shared" si="74"/>
        <v>kg C</v>
      </c>
      <c r="M440" t="str">
        <f t="shared" si="75"/>
        <v>rigid_Oth_WG_SS_carbon_pyrolysis - rigid_Oth_SS_PRE_carbon_pyrolysis</v>
      </c>
      <c r="N440" s="14"/>
    </row>
    <row r="441" spans="1:14" x14ac:dyDescent="0.2">
      <c r="A441" s="14"/>
      <c r="B441" s="220" t="s">
        <v>42</v>
      </c>
      <c r="C441" s="6" t="str">
        <f t="shared" si="70"/>
        <v>PET</v>
      </c>
      <c r="D441" t="s">
        <v>1631</v>
      </c>
      <c r="E441" s="33">
        <f>$C$390*E124</f>
        <v>0</v>
      </c>
      <c r="F441" t="str">
        <f t="shared" si="71"/>
        <v>kg C</v>
      </c>
      <c r="G441" s="32" t="str">
        <f>$B$390&amp;" * "&amp;D124</f>
        <v>soft_carbon * soft_PET_SS_PRE_mass_pyrolysis</v>
      </c>
      <c r="H441" s="220" t="s">
        <v>42</v>
      </c>
      <c r="I441" s="6" t="str">
        <f t="shared" si="72"/>
        <v>PET</v>
      </c>
      <c r="J441" t="s">
        <v>1869</v>
      </c>
      <c r="K441" s="33">
        <f t="shared" si="73"/>
        <v>0</v>
      </c>
      <c r="L441" t="str">
        <f t="shared" si="74"/>
        <v>kg C</v>
      </c>
      <c r="M441" t="str">
        <f t="shared" si="75"/>
        <v>soft_PET_WG_SS_carbon_pyrolysis - soft_PET_SS_PRE_carbon_pyrolysis</v>
      </c>
      <c r="N441" s="14"/>
    </row>
    <row r="442" spans="1:14" x14ac:dyDescent="0.2">
      <c r="A442" s="14"/>
      <c r="B442" s="220"/>
      <c r="C442" s="6" t="str">
        <f t="shared" si="70"/>
        <v>PE</v>
      </c>
      <c r="D442" t="s">
        <v>1632</v>
      </c>
      <c r="E442" s="33">
        <f>$C$390*E125</f>
        <v>189.23284799999999</v>
      </c>
      <c r="F442" t="str">
        <f t="shared" si="71"/>
        <v>kg C</v>
      </c>
      <c r="G442" s="32" t="str">
        <f>$B$390&amp;" * "&amp;D125</f>
        <v>soft_carbon * soft_PE_SS_PRE_mass_pyrolysis</v>
      </c>
      <c r="H442" s="220"/>
      <c r="I442" s="6" t="str">
        <f t="shared" si="72"/>
        <v>PE</v>
      </c>
      <c r="J442" t="s">
        <v>1646</v>
      </c>
      <c r="K442" s="33">
        <f t="shared" si="73"/>
        <v>21.025872000000021</v>
      </c>
      <c r="L442" t="str">
        <f t="shared" si="74"/>
        <v>kg C</v>
      </c>
      <c r="M442" t="str">
        <f t="shared" si="75"/>
        <v>soft_PE_WG_SS_carbon_pyrolysis - soft_PE_SS_PRE_carbon_pyrolysis</v>
      </c>
      <c r="N442" s="14"/>
    </row>
    <row r="443" spans="1:14" x14ac:dyDescent="0.2">
      <c r="A443" s="14"/>
      <c r="B443" s="220"/>
      <c r="C443" s="6" t="str">
        <f t="shared" si="70"/>
        <v>PP</v>
      </c>
      <c r="D443" t="s">
        <v>1633</v>
      </c>
      <c r="E443" s="33">
        <f>$C$390*E126</f>
        <v>0</v>
      </c>
      <c r="F443" t="str">
        <f t="shared" si="71"/>
        <v>kg C</v>
      </c>
      <c r="G443" s="32" t="str">
        <f>$B$390&amp;" * "&amp;D126</f>
        <v>soft_carbon * soft_PP_SS_PRE_mass_pyrolysis</v>
      </c>
      <c r="H443" s="220"/>
      <c r="I443" s="6" t="str">
        <f t="shared" si="72"/>
        <v>PP</v>
      </c>
      <c r="J443" t="s">
        <v>1647</v>
      </c>
      <c r="K443" s="33">
        <f t="shared" si="73"/>
        <v>0</v>
      </c>
      <c r="L443" t="str">
        <f t="shared" si="74"/>
        <v>kg C</v>
      </c>
      <c r="M443" t="str">
        <f t="shared" si="75"/>
        <v>soft_PP_WG_SS_carbon_pyrolysis - soft_PP_SS_PRE_carbon_pyrolysis</v>
      </c>
      <c r="N443" s="14"/>
    </row>
    <row r="444" spans="1:14" x14ac:dyDescent="0.2">
      <c r="A444" s="14"/>
      <c r="B444" s="220"/>
      <c r="C444" s="6" t="str">
        <f t="shared" si="70"/>
        <v>PS</v>
      </c>
      <c r="D444" t="s">
        <v>1634</v>
      </c>
      <c r="E444" s="33">
        <f>$C$390*E127</f>
        <v>0</v>
      </c>
      <c r="F444" t="str">
        <f t="shared" si="71"/>
        <v>kg C</v>
      </c>
      <c r="G444" s="32" t="str">
        <f>$B$390&amp;" * "&amp;D127</f>
        <v>soft_carbon * soft_PS_SS_PRE_mass_pyrolysis</v>
      </c>
      <c r="H444" s="220"/>
      <c r="I444" s="6" t="str">
        <f t="shared" si="72"/>
        <v>PS</v>
      </c>
      <c r="J444" t="s">
        <v>1648</v>
      </c>
      <c r="K444" s="33">
        <f t="shared" si="73"/>
        <v>0</v>
      </c>
      <c r="L444" t="str">
        <f t="shared" si="74"/>
        <v>kg C</v>
      </c>
      <c r="M444" t="str">
        <f t="shared" si="75"/>
        <v>soft_PS_WG_SS_carbon_pyrolysis - soft_PS_SS_PRE_carbon_pyrolysis</v>
      </c>
      <c r="N444" s="14"/>
    </row>
    <row r="445" spans="1:14" x14ac:dyDescent="0.2">
      <c r="A445" s="14"/>
      <c r="B445" s="220"/>
      <c r="C445" s="6" t="str">
        <f t="shared" si="70"/>
        <v>Other</v>
      </c>
      <c r="D445" t="s">
        <v>1635</v>
      </c>
      <c r="E445" s="33">
        <f>$C$390*E128</f>
        <v>63.07761600000002</v>
      </c>
      <c r="F445" t="str">
        <f t="shared" si="71"/>
        <v>kg C</v>
      </c>
      <c r="G445" s="32" t="str">
        <f t="shared" ref="G445:G450" si="76">$B$391&amp;" * "&amp;D128</f>
        <v>nonrec_carbon * soft_Oth_SS_PRE_mass_pyrolysis</v>
      </c>
      <c r="H445" s="220"/>
      <c r="I445" s="6" t="str">
        <f t="shared" si="72"/>
        <v>Other</v>
      </c>
      <c r="J445" t="s">
        <v>1649</v>
      </c>
      <c r="K445" s="33">
        <f t="shared" si="73"/>
        <v>7.0086239999999975</v>
      </c>
      <c r="L445" t="str">
        <f t="shared" si="74"/>
        <v>kg C</v>
      </c>
      <c r="M445" t="str">
        <f t="shared" si="75"/>
        <v>soft_Oth_WG_SS_carbon_pyrolysis - soft_Oth_SS_PRE_carbon_pyrolysis</v>
      </c>
      <c r="N445" s="14"/>
    </row>
    <row r="446" spans="1:14" x14ac:dyDescent="0.2">
      <c r="A446" s="14"/>
      <c r="B446" s="220" t="s">
        <v>19</v>
      </c>
      <c r="C446" s="6" t="str">
        <f t="shared" si="70"/>
        <v>PET</v>
      </c>
      <c r="D446" t="s">
        <v>2811</v>
      </c>
      <c r="E446" s="33">
        <f>$C$391*E129</f>
        <v>0</v>
      </c>
      <c r="F446" t="str">
        <f t="shared" si="71"/>
        <v>kg C</v>
      </c>
      <c r="G446" s="32" t="str">
        <f t="shared" si="76"/>
        <v>nonrec_carbon * other_PET_SS_PRE_mass_pyrolysis</v>
      </c>
      <c r="H446" s="228" t="s">
        <v>19</v>
      </c>
      <c r="I446" s="6" t="str">
        <f t="shared" si="72"/>
        <v>PET</v>
      </c>
      <c r="J446" t="s">
        <v>2816</v>
      </c>
      <c r="K446" s="33">
        <f t="shared" si="73"/>
        <v>0</v>
      </c>
      <c r="L446" t="s">
        <v>96</v>
      </c>
      <c r="M446" t="str">
        <f t="shared" si="75"/>
        <v>other_PET_WG_SS_carbon_pyrolysis - other_PET_SS_PRE_carbon_pyrolysis</v>
      </c>
      <c r="N446" s="14"/>
    </row>
    <row r="447" spans="1:14" x14ac:dyDescent="0.2">
      <c r="A447" s="14"/>
      <c r="B447" s="220"/>
      <c r="C447" s="6" t="str">
        <f t="shared" si="70"/>
        <v>PE</v>
      </c>
      <c r="D447" t="s">
        <v>2812</v>
      </c>
      <c r="E447" s="33">
        <f>$C$391*E130</f>
        <v>0</v>
      </c>
      <c r="F447" t="str">
        <f t="shared" si="71"/>
        <v>kg C</v>
      </c>
      <c r="G447" s="32" t="str">
        <f t="shared" si="76"/>
        <v>nonrec_carbon * other_PE_SS_PRE_mass_pyrolysis</v>
      </c>
      <c r="H447" s="228"/>
      <c r="I447" s="6" t="str">
        <f t="shared" si="72"/>
        <v>PE</v>
      </c>
      <c r="J447" t="s">
        <v>2817</v>
      </c>
      <c r="K447" s="33">
        <f t="shared" si="73"/>
        <v>0</v>
      </c>
      <c r="L447" t="s">
        <v>96</v>
      </c>
      <c r="M447" t="str">
        <f t="shared" si="75"/>
        <v>other_PE_WG_SS_carbon_pyrolysis - other_PE_SS_PRE_carbon_pyrolysis</v>
      </c>
      <c r="N447" s="14"/>
    </row>
    <row r="448" spans="1:14" x14ac:dyDescent="0.2">
      <c r="A448" s="14"/>
      <c r="B448" s="220"/>
      <c r="C448" s="6" t="str">
        <f t="shared" si="70"/>
        <v>PP</v>
      </c>
      <c r="D448" t="s">
        <v>2813</v>
      </c>
      <c r="E448" s="33">
        <f>$C$391*E131</f>
        <v>0</v>
      </c>
      <c r="F448" t="str">
        <f t="shared" si="71"/>
        <v>kg C</v>
      </c>
      <c r="G448" s="32" t="str">
        <f t="shared" si="76"/>
        <v>nonrec_carbon * other_PP_SS_PRE_mass_pyrolysis</v>
      </c>
      <c r="H448" s="228"/>
      <c r="I448" s="6" t="str">
        <f t="shared" si="72"/>
        <v>PP</v>
      </c>
      <c r="J448" t="s">
        <v>2818</v>
      </c>
      <c r="K448" s="33">
        <f t="shared" si="73"/>
        <v>0</v>
      </c>
      <c r="L448" t="s">
        <v>96</v>
      </c>
      <c r="M448" t="str">
        <f t="shared" si="75"/>
        <v>other_PP_WG_SS_carbon_pyrolysis - other_PP_SS_PRE_carbon_pyrolysis</v>
      </c>
      <c r="N448" s="14"/>
    </row>
    <row r="449" spans="1:14" x14ac:dyDescent="0.2">
      <c r="A449" s="14"/>
      <c r="B449" s="220"/>
      <c r="C449" s="6" t="str">
        <f t="shared" si="70"/>
        <v>PS</v>
      </c>
      <c r="D449" t="s">
        <v>2814</v>
      </c>
      <c r="E449" s="33">
        <f>$C$391*E132</f>
        <v>0</v>
      </c>
      <c r="F449" t="str">
        <f t="shared" si="71"/>
        <v>kg C</v>
      </c>
      <c r="G449" s="32" t="str">
        <f t="shared" si="76"/>
        <v>nonrec_carbon * other_PS_SS_PRE_mass_pyrolysis</v>
      </c>
      <c r="H449" s="228"/>
      <c r="I449" s="6" t="str">
        <f t="shared" si="72"/>
        <v>PS</v>
      </c>
      <c r="J449" t="s">
        <v>2819</v>
      </c>
      <c r="K449" s="33">
        <f t="shared" si="73"/>
        <v>0</v>
      </c>
      <c r="L449" t="s">
        <v>96</v>
      </c>
      <c r="M449" t="str">
        <f t="shared" si="75"/>
        <v>other_PS_WG_SS_carbon_pyrolysis - other_PS_SS_PRE_carbon_pyrolysis</v>
      </c>
      <c r="N449" s="14"/>
    </row>
    <row r="450" spans="1:14" x14ac:dyDescent="0.2">
      <c r="A450" s="14"/>
      <c r="B450" s="227"/>
      <c r="C450" s="60" t="str">
        <f t="shared" si="70"/>
        <v>Other</v>
      </c>
      <c r="D450" t="s">
        <v>2815</v>
      </c>
      <c r="E450" s="33">
        <f>$C$391*E133</f>
        <v>0</v>
      </c>
      <c r="F450" s="44" t="str">
        <f t="shared" si="71"/>
        <v>kg C</v>
      </c>
      <c r="G450" s="32" t="str">
        <f t="shared" si="76"/>
        <v>nonrec_carbon * other_Oth_SS_PRE_mass_pyrolysis</v>
      </c>
      <c r="H450" s="229"/>
      <c r="I450" s="6" t="str">
        <f t="shared" si="72"/>
        <v>Other</v>
      </c>
      <c r="J450" t="s">
        <v>2820</v>
      </c>
      <c r="K450" s="33">
        <f t="shared" si="73"/>
        <v>65.587399999999946</v>
      </c>
      <c r="L450" s="44" t="s">
        <v>96</v>
      </c>
      <c r="M450" t="str">
        <f t="shared" si="75"/>
        <v>other_Oth_WG_SS_carbon_pyrolysis - other_Oth_SS_PRE_carbon_pyrolysis</v>
      </c>
      <c r="N450" s="14"/>
    </row>
    <row r="451" spans="1:14" ht="25" customHeight="1" x14ac:dyDescent="0.2">
      <c r="A451" s="14"/>
      <c r="B451" s="214" t="s">
        <v>55</v>
      </c>
      <c r="C451" s="214"/>
      <c r="D451" s="214"/>
      <c r="E451" s="214"/>
      <c r="F451" s="214"/>
      <c r="G451" s="214"/>
      <c r="H451" s="214"/>
      <c r="I451" s="214"/>
      <c r="J451" s="214"/>
      <c r="K451" s="214"/>
      <c r="L451" s="214"/>
      <c r="M451" s="214"/>
      <c r="N451" s="14"/>
    </row>
    <row r="452" spans="1:14" x14ac:dyDescent="0.2">
      <c r="A452" s="14"/>
      <c r="B452" s="2" t="s">
        <v>49</v>
      </c>
      <c r="C452" s="2" t="s">
        <v>3</v>
      </c>
      <c r="D452" s="2" t="s">
        <v>4</v>
      </c>
      <c r="E452" s="2" t="s">
        <v>7</v>
      </c>
      <c r="F452" s="2"/>
      <c r="G452" s="1"/>
      <c r="H452" s="2" t="str">
        <f>B452</f>
        <v>Parameter</v>
      </c>
      <c r="I452" s="2" t="str">
        <f>C452</f>
        <v>Value</v>
      </c>
      <c r="J452" s="2" t="str">
        <f>D452</f>
        <v>Unit</v>
      </c>
      <c r="K452" s="54" t="str">
        <f>E452</f>
        <v>Description</v>
      </c>
      <c r="L452" s="54"/>
      <c r="M452" s="54"/>
      <c r="N452" s="14"/>
    </row>
    <row r="453" spans="1:14" x14ac:dyDescent="0.2">
      <c r="A453" s="14"/>
      <c r="B453" t="s">
        <v>1651</v>
      </c>
      <c r="C453" s="33">
        <f>SUM(E431:E435)</f>
        <v>185.5872</v>
      </c>
      <c r="D453" t="s">
        <v>96</v>
      </c>
      <c r="E453" t="s">
        <v>1936</v>
      </c>
      <c r="G453" s="32"/>
      <c r="H453" t="s">
        <v>1652</v>
      </c>
      <c r="I453" s="33">
        <f>SUM(K431:K435)</f>
        <v>20.620800000000003</v>
      </c>
      <c r="J453" t="s">
        <v>96</v>
      </c>
      <c r="K453" t="s">
        <v>1940</v>
      </c>
      <c r="N453" s="14"/>
    </row>
    <row r="454" spans="1:14" x14ac:dyDescent="0.2">
      <c r="A454" s="14"/>
      <c r="B454" t="s">
        <v>1653</v>
      </c>
      <c r="C454" s="33">
        <f>SUM(E436:E440)</f>
        <v>138.52080000000001</v>
      </c>
      <c r="D454" t="str">
        <f>D453</f>
        <v>kg C</v>
      </c>
      <c r="E454" t="s">
        <v>1937</v>
      </c>
      <c r="G454" s="32"/>
      <c r="H454" t="s">
        <v>1654</v>
      </c>
      <c r="I454" s="33">
        <f>SUM(K436:K440)</f>
        <v>15.391199999999996</v>
      </c>
      <c r="J454" t="str">
        <f>J453</f>
        <v>kg C</v>
      </c>
      <c r="K454" t="s">
        <v>1941</v>
      </c>
      <c r="N454" s="14"/>
    </row>
    <row r="455" spans="1:14" x14ac:dyDescent="0.2">
      <c r="A455" s="14"/>
      <c r="B455" t="s">
        <v>1655</v>
      </c>
      <c r="C455" s="33">
        <f>SUM(E441:E445)</f>
        <v>252.31046400000002</v>
      </c>
      <c r="D455" t="s">
        <v>96</v>
      </c>
      <c r="E455" t="s">
        <v>1938</v>
      </c>
      <c r="G455" s="32"/>
      <c r="H455" t="s">
        <v>1656</v>
      </c>
      <c r="I455" s="33">
        <f>SUM(K441:K445)</f>
        <v>28.034496000000019</v>
      </c>
      <c r="J455" t="s">
        <v>96</v>
      </c>
      <c r="K455" t="s">
        <v>1943</v>
      </c>
      <c r="N455" s="14"/>
    </row>
    <row r="456" spans="1:14" ht="16" thickBot="1" x14ac:dyDescent="0.25">
      <c r="A456" s="14"/>
      <c r="B456" s="8" t="s">
        <v>2821</v>
      </c>
      <c r="C456" s="34">
        <f>SUM(E446:E450)</f>
        <v>0</v>
      </c>
      <c r="D456" s="8" t="s">
        <v>96</v>
      </c>
      <c r="E456" s="8" t="s">
        <v>2822</v>
      </c>
      <c r="F456" s="8"/>
      <c r="G456" s="87"/>
      <c r="H456" s="8"/>
      <c r="I456" s="34">
        <f>SUM(K446:K450)</f>
        <v>65.587399999999946</v>
      </c>
      <c r="J456" s="8"/>
      <c r="K456" s="8"/>
      <c r="L456" s="8"/>
      <c r="M456" s="8"/>
      <c r="N456" s="14"/>
    </row>
    <row r="457" spans="1:14" ht="16" thickTop="1" x14ac:dyDescent="0.2">
      <c r="A457" s="14"/>
      <c r="B457" s="44" t="s">
        <v>1657</v>
      </c>
      <c r="C457" s="62">
        <f>SUM(C453:C456)</f>
        <v>576.41846400000009</v>
      </c>
      <c r="D457" s="44" t="s">
        <v>96</v>
      </c>
      <c r="E457" s="44" t="s">
        <v>1939</v>
      </c>
      <c r="F457" s="44"/>
      <c r="G457" s="61"/>
      <c r="H457" s="44" t="s">
        <v>1650</v>
      </c>
      <c r="I457" s="62">
        <f>SUM(I453:I456)</f>
        <v>129.63389599999996</v>
      </c>
      <c r="J457" s="44" t="s">
        <v>96</v>
      </c>
      <c r="K457" s="44" t="s">
        <v>1942</v>
      </c>
      <c r="L457" s="44"/>
      <c r="M457" s="44"/>
      <c r="N457" s="14"/>
    </row>
    <row r="458" spans="1:14" x14ac:dyDescent="0.2">
      <c r="A458" s="14"/>
      <c r="B458" s="125" t="s">
        <v>2704</v>
      </c>
      <c r="C458" s="125" t="str">
        <f>IF(C457+I457=C421,"true")</f>
        <v>true</v>
      </c>
      <c r="D458" s="125"/>
      <c r="E458" s="125"/>
      <c r="F458" s="125"/>
      <c r="G458" s="125"/>
      <c r="H458" s="125"/>
      <c r="I458" s="125"/>
      <c r="J458" s="125"/>
      <c r="K458" s="125"/>
      <c r="L458" s="125"/>
      <c r="M458" s="125"/>
      <c r="N458" s="14"/>
    </row>
    <row r="459" spans="1:14" x14ac:dyDescent="0.2">
      <c r="A459" s="14"/>
      <c r="B459" s="14"/>
      <c r="C459" s="71"/>
      <c r="D459" s="14"/>
      <c r="E459" s="14"/>
      <c r="F459" s="14"/>
      <c r="G459" s="14"/>
      <c r="H459" s="14"/>
      <c r="I459" s="14"/>
      <c r="J459" s="14"/>
      <c r="K459" s="14"/>
      <c r="L459" s="14"/>
      <c r="M459" s="14"/>
      <c r="N459" s="14"/>
    </row>
    <row r="460" spans="1:14" x14ac:dyDescent="0.2">
      <c r="A460" s="14"/>
      <c r="B460" s="14"/>
      <c r="C460" s="14"/>
      <c r="D460" s="14"/>
      <c r="E460" s="14"/>
      <c r="F460" s="14"/>
      <c r="G460" s="14"/>
      <c r="H460" s="14"/>
      <c r="I460" s="14"/>
      <c r="J460" s="14"/>
      <c r="K460" s="14"/>
      <c r="L460" s="14"/>
      <c r="M460" s="14"/>
      <c r="N460" s="14"/>
    </row>
    <row r="461" spans="1:14" x14ac:dyDescent="0.2">
      <c r="A461" s="14"/>
      <c r="B461" s="14"/>
      <c r="C461" s="14"/>
      <c r="D461" s="14"/>
      <c r="E461" s="14"/>
      <c r="F461" s="14"/>
      <c r="G461" s="14"/>
      <c r="H461" s="14"/>
      <c r="I461" s="14"/>
      <c r="J461" s="14"/>
      <c r="K461" s="14"/>
      <c r="L461" s="14"/>
      <c r="M461" s="14"/>
      <c r="N461" s="14"/>
    </row>
    <row r="462" spans="1:14" ht="25" customHeight="1" x14ac:dyDescent="0.2">
      <c r="A462" s="14"/>
      <c r="B462" s="214" t="str">
        <f>B145</f>
        <v>Presorting (PRE)</v>
      </c>
      <c r="C462" s="214"/>
      <c r="D462" s="214"/>
      <c r="E462" s="214"/>
      <c r="F462" s="214"/>
      <c r="G462" s="214"/>
      <c r="H462" s="214"/>
      <c r="I462" s="214"/>
      <c r="J462" s="214"/>
      <c r="K462" s="214"/>
      <c r="L462" s="214"/>
      <c r="M462" s="214"/>
      <c r="N462" s="14"/>
    </row>
    <row r="463" spans="1:14" ht="25" customHeight="1" x14ac:dyDescent="0.2">
      <c r="A463" s="14"/>
      <c r="B463" s="239" t="str">
        <f>B152</f>
        <v>Output from presorting (PRE)</v>
      </c>
      <c r="C463" s="239"/>
      <c r="D463" s="239"/>
      <c r="E463" s="239"/>
      <c r="F463" s="239"/>
      <c r="G463" s="239"/>
      <c r="H463" s="239"/>
      <c r="I463" s="239"/>
      <c r="J463" s="239"/>
      <c r="K463" s="239"/>
      <c r="L463" s="239"/>
      <c r="M463" s="239"/>
      <c r="N463" s="14"/>
    </row>
    <row r="464" spans="1:14" ht="25" customHeight="1" x14ac:dyDescent="0.2">
      <c r="A464" s="14"/>
      <c r="B464" s="239" t="str">
        <f>B153</f>
        <v>To pyrolysis (PYRO)</v>
      </c>
      <c r="C464" s="239"/>
      <c r="D464" s="239"/>
      <c r="E464" s="239"/>
      <c r="F464" s="239"/>
      <c r="G464" s="240"/>
      <c r="H464" s="239" t="str">
        <f>H153</f>
        <v>To inceneration (INC)</v>
      </c>
      <c r="I464" s="239"/>
      <c r="J464" s="239"/>
      <c r="K464" s="239"/>
      <c r="L464" s="239"/>
      <c r="M464" s="239"/>
      <c r="N464" s="14"/>
    </row>
    <row r="465" spans="1:14" x14ac:dyDescent="0.2">
      <c r="A465" s="14"/>
      <c r="B465" s="2" t="s">
        <v>21</v>
      </c>
      <c r="C465" s="3" t="s">
        <v>20</v>
      </c>
      <c r="D465" s="2" t="s">
        <v>99</v>
      </c>
      <c r="E465" s="2" t="s">
        <v>3</v>
      </c>
      <c r="F465" s="2" t="s">
        <v>4</v>
      </c>
      <c r="G465" s="4" t="s">
        <v>43</v>
      </c>
      <c r="H465" s="2" t="s">
        <v>21</v>
      </c>
      <c r="I465" s="3" t="s">
        <v>20</v>
      </c>
      <c r="J465" s="2" t="str">
        <f>D465</f>
        <v>Name</v>
      </c>
      <c r="K465" s="2" t="s">
        <v>3</v>
      </c>
      <c r="L465" s="2" t="s">
        <v>4</v>
      </c>
      <c r="M465" s="2" t="s">
        <v>43</v>
      </c>
      <c r="N465" s="14"/>
    </row>
    <row r="466" spans="1:14" x14ac:dyDescent="0.2">
      <c r="A466" s="14"/>
      <c r="B466" s="220" t="s">
        <v>14</v>
      </c>
      <c r="C466" s="6" t="str">
        <f t="shared" ref="C466:C480" si="77">C431</f>
        <v>PET</v>
      </c>
      <c r="D466" t="s">
        <v>1658</v>
      </c>
      <c r="E466">
        <f>$C$388*E155</f>
        <v>128.19745151999999</v>
      </c>
      <c r="F466" t="s">
        <v>96</v>
      </c>
      <c r="G466" s="32" t="str">
        <f>$B$388&amp;" * "&amp;D155</f>
        <v>bottle_carbon * bottle_PET_PRE_PYRO_mass_pyrolysis</v>
      </c>
      <c r="H466" s="228" t="s">
        <v>14</v>
      </c>
      <c r="I466" s="6" t="str">
        <f>C466</f>
        <v>PET</v>
      </c>
      <c r="J466" t="s">
        <v>1659</v>
      </c>
      <c r="K466" s="33">
        <f t="shared" ref="K466:K480" si="78">E431-E466</f>
        <v>14.086068479999994</v>
      </c>
      <c r="L466" t="s">
        <v>96</v>
      </c>
      <c r="M466" t="str">
        <f t="shared" ref="M466:M480" si="79">D431&amp;" - "&amp;D466</f>
        <v>bottle_PET_SS_PRE_carbon_pyrolysis - bottle_PET_PRE_PYRO_carbon_pyrolysis</v>
      </c>
      <c r="N466" s="14" t="s">
        <v>1005</v>
      </c>
    </row>
    <row r="467" spans="1:14" x14ac:dyDescent="0.2">
      <c r="A467" s="14"/>
      <c r="B467" s="220"/>
      <c r="C467" s="6" t="str">
        <f t="shared" si="77"/>
        <v>PE</v>
      </c>
      <c r="D467" t="s">
        <v>1660</v>
      </c>
      <c r="E467">
        <f>$C$388*E156</f>
        <v>39.016615679999994</v>
      </c>
      <c r="F467" t="s">
        <v>96</v>
      </c>
      <c r="G467" s="32" t="str">
        <f>$B$388&amp;" * "&amp;D156</f>
        <v>bottle_carbon * bottle_PE_PRE_PYRO_mass_pyrolysis</v>
      </c>
      <c r="H467" s="228"/>
      <c r="I467" s="6" t="str">
        <f t="shared" ref="I467:I480" si="80">C467</f>
        <v>PE</v>
      </c>
      <c r="J467" t="s">
        <v>1661</v>
      </c>
      <c r="K467" s="33">
        <f t="shared" si="78"/>
        <v>4.287064320000006</v>
      </c>
      <c r="L467" t="s">
        <v>96</v>
      </c>
      <c r="M467" t="str">
        <f t="shared" si="79"/>
        <v>bottle_PE_SS_PRE_carbon_pyrolysis - bottle_PE_PRE_PYRO_carbon_pyrolysis</v>
      </c>
      <c r="N467" s="14" t="s">
        <v>1005</v>
      </c>
    </row>
    <row r="468" spans="1:14" x14ac:dyDescent="0.2">
      <c r="A468" s="14"/>
      <c r="B468" s="220"/>
      <c r="C468" s="6" t="str">
        <f t="shared" si="77"/>
        <v>PP</v>
      </c>
      <c r="D468" t="s">
        <v>1662</v>
      </c>
      <c r="E468">
        <f>$C$388*E157</f>
        <v>0</v>
      </c>
      <c r="F468" t="s">
        <v>96</v>
      </c>
      <c r="G468" s="32" t="str">
        <f>$B$388&amp;" * "&amp;D157</f>
        <v>bottle_carbon * bottle_PP_PRE_PYRO_mass_pyrolysis</v>
      </c>
      <c r="H468" s="228"/>
      <c r="I468" s="6" t="str">
        <f t="shared" si="80"/>
        <v>PP</v>
      </c>
      <c r="J468" t="s">
        <v>1663</v>
      </c>
      <c r="K468" s="33">
        <f t="shared" si="78"/>
        <v>0</v>
      </c>
      <c r="L468" t="s">
        <v>96</v>
      </c>
      <c r="M468" t="str">
        <f t="shared" si="79"/>
        <v>bottle_PP_SS_PRE_carbon_pyrolysis - bottle_PP_PRE_PYRO_carbon_pyrolysis</v>
      </c>
      <c r="N468" s="14" t="s">
        <v>1005</v>
      </c>
    </row>
    <row r="469" spans="1:14" x14ac:dyDescent="0.2">
      <c r="A469" s="14"/>
      <c r="B469" s="220"/>
      <c r="C469" s="6" t="str">
        <f t="shared" si="77"/>
        <v>PS</v>
      </c>
      <c r="D469" t="s">
        <v>1664</v>
      </c>
      <c r="E469">
        <f>$C$388*E158</f>
        <v>0</v>
      </c>
      <c r="F469" t="s">
        <v>96</v>
      </c>
      <c r="G469" s="32" t="str">
        <f>$B$388&amp;" * "&amp;D158</f>
        <v>bottle_carbon * bottle_PS_PRE_PYRO_mass_pyrolysis</v>
      </c>
      <c r="H469" s="228"/>
      <c r="I469" s="6" t="str">
        <f t="shared" si="80"/>
        <v>PS</v>
      </c>
      <c r="J469" t="s">
        <v>1665</v>
      </c>
      <c r="K469" s="33">
        <f t="shared" si="78"/>
        <v>0</v>
      </c>
      <c r="L469" t="s">
        <v>96</v>
      </c>
      <c r="M469" t="str">
        <f t="shared" si="79"/>
        <v>bottle_PS_SS_PRE_carbon_pyrolysis - bottle_PS_PRE_PYRO_carbon_pyrolysis</v>
      </c>
      <c r="N469" s="14" t="s">
        <v>1005</v>
      </c>
    </row>
    <row r="470" spans="1:14" x14ac:dyDescent="0.2">
      <c r="A470" s="14"/>
      <c r="B470" s="220"/>
      <c r="C470" s="6" t="str">
        <f t="shared" si="77"/>
        <v>Other</v>
      </c>
      <c r="D470" t="s">
        <v>1666</v>
      </c>
      <c r="E470">
        <f>$C$388*E159</f>
        <v>0</v>
      </c>
      <c r="F470" t="s">
        <v>96</v>
      </c>
      <c r="G470" s="32" t="str">
        <f>$B$388&amp;" * "&amp;D159</f>
        <v>bottle_carbon * bottle_Oth_PRE_PYRO_mass_pyrolysis</v>
      </c>
      <c r="H470" s="228"/>
      <c r="I470" s="6" t="str">
        <f t="shared" si="80"/>
        <v>Other</v>
      </c>
      <c r="J470" t="s">
        <v>1667</v>
      </c>
      <c r="K470" s="33">
        <f t="shared" si="78"/>
        <v>0</v>
      </c>
      <c r="L470" t="s">
        <v>96</v>
      </c>
      <c r="M470" t="str">
        <f t="shared" si="79"/>
        <v>bottle_Oth_SS_PRE_carbon_pyrolysis - bottle_Oth_PRE_PYRO_carbon_pyrolysis</v>
      </c>
      <c r="N470" s="14" t="s">
        <v>1005</v>
      </c>
    </row>
    <row r="471" spans="1:14" x14ac:dyDescent="0.2">
      <c r="A471" s="14"/>
      <c r="B471" s="220" t="s">
        <v>15</v>
      </c>
      <c r="C471" s="6" t="str">
        <f t="shared" si="77"/>
        <v>PET</v>
      </c>
      <c r="D471" t="s">
        <v>1668</v>
      </c>
      <c r="E471">
        <f>$C$389*E160</f>
        <v>24.96144816</v>
      </c>
      <c r="F471" t="s">
        <v>96</v>
      </c>
      <c r="G471" s="32" t="str">
        <f>$B$389&amp;" * "&amp;D160</f>
        <v>rigid_carbon * rigid_PET_PRE_PYRO_mass_pyrolysis</v>
      </c>
      <c r="H471" s="228" t="s">
        <v>15</v>
      </c>
      <c r="I471" s="6" t="str">
        <f t="shared" si="80"/>
        <v>PET</v>
      </c>
      <c r="J471" t="s">
        <v>1669</v>
      </c>
      <c r="K471" s="33">
        <f t="shared" si="78"/>
        <v>2.7427118400000019</v>
      </c>
      <c r="L471" t="s">
        <v>96</v>
      </c>
      <c r="M471" t="str">
        <f t="shared" si="79"/>
        <v>rigid_PET_SS_PRE_carbon_pyrolysis - rigid_PET_PRE_PYRO_carbon_pyrolysis</v>
      </c>
      <c r="N471" s="14" t="s">
        <v>1005</v>
      </c>
    </row>
    <row r="472" spans="1:14" x14ac:dyDescent="0.2">
      <c r="A472" s="14"/>
      <c r="B472" s="220"/>
      <c r="C472" s="6" t="str">
        <f t="shared" si="77"/>
        <v>PE</v>
      </c>
      <c r="D472" t="s">
        <v>1670</v>
      </c>
      <c r="E472">
        <f>$C$389*E161</f>
        <v>18.721086120000002</v>
      </c>
      <c r="F472" t="s">
        <v>96</v>
      </c>
      <c r="G472" s="32" t="str">
        <f>$B$389&amp;" * "&amp;D161</f>
        <v>rigid_carbon * rigid_PE_PRE_PYRO_mass_pyrolysis</v>
      </c>
      <c r="H472" s="228"/>
      <c r="I472" s="6" t="str">
        <f t="shared" si="80"/>
        <v>PE</v>
      </c>
      <c r="J472" t="s">
        <v>1671</v>
      </c>
      <c r="K472" s="33">
        <f t="shared" si="78"/>
        <v>2.0570338799999988</v>
      </c>
      <c r="L472" t="s">
        <v>96</v>
      </c>
      <c r="M472" t="str">
        <f t="shared" si="79"/>
        <v>rigid_PE_SS_PRE_carbon_pyrolysis - rigid_PE_PRE_PYRO_carbon_pyrolysis</v>
      </c>
      <c r="N472" s="14" t="s">
        <v>1005</v>
      </c>
    </row>
    <row r="473" spans="1:14" x14ac:dyDescent="0.2">
      <c r="A473" s="14"/>
      <c r="B473" s="220"/>
      <c r="C473" s="6" t="str">
        <f t="shared" si="77"/>
        <v>PP</v>
      </c>
      <c r="D473" t="s">
        <v>1672</v>
      </c>
      <c r="E473">
        <f>$C$389*E162</f>
        <v>41.112973439999998</v>
      </c>
      <c r="F473" t="s">
        <v>96</v>
      </c>
      <c r="G473" s="32" t="str">
        <f>$B$389&amp;" * "&amp;D162</f>
        <v>rigid_carbon * rigid_PP_PRE_PYRO_mass_pyrolysis</v>
      </c>
      <c r="H473" s="228"/>
      <c r="I473" s="6" t="str">
        <f t="shared" si="80"/>
        <v>PP</v>
      </c>
      <c r="J473" t="s">
        <v>1673</v>
      </c>
      <c r="K473" s="33">
        <f t="shared" si="78"/>
        <v>7.3693065600000054</v>
      </c>
      <c r="L473" t="s">
        <v>96</v>
      </c>
      <c r="M473" t="str">
        <f t="shared" si="79"/>
        <v>rigid_PP_SS_PRE_carbon_pyrolysis - rigid_PP_PRE_PYRO_carbon_pyrolysis</v>
      </c>
      <c r="N473" s="14" t="s">
        <v>1005</v>
      </c>
    </row>
    <row r="474" spans="1:14" x14ac:dyDescent="0.2">
      <c r="A474" s="14"/>
      <c r="B474" s="220"/>
      <c r="C474" s="6" t="str">
        <f t="shared" si="77"/>
        <v>PS</v>
      </c>
      <c r="D474" t="s">
        <v>1674</v>
      </c>
      <c r="E474">
        <f>$C$389*E163</f>
        <v>6.2403620399999999</v>
      </c>
      <c r="F474" t="s">
        <v>96</v>
      </c>
      <c r="G474" s="32" t="str">
        <f>$B$389&amp;" * "&amp;D163</f>
        <v>rigid_carbon * rigid_PS_PRE_PYRO_mass_pyrolysis</v>
      </c>
      <c r="H474" s="228"/>
      <c r="I474" s="6" t="str">
        <f t="shared" si="80"/>
        <v>PS</v>
      </c>
      <c r="J474" t="s">
        <v>1675</v>
      </c>
      <c r="K474" s="33">
        <f t="shared" si="78"/>
        <v>0.68567796000000047</v>
      </c>
      <c r="L474" t="s">
        <v>96</v>
      </c>
      <c r="M474" t="str">
        <f t="shared" si="79"/>
        <v>rigid_PS_SS_PRE_carbon_pyrolysis - rigid_PS_PRE_PYRO_carbon_pyrolysis</v>
      </c>
      <c r="N474" s="14" t="s">
        <v>1005</v>
      </c>
    </row>
    <row r="475" spans="1:14" x14ac:dyDescent="0.2">
      <c r="A475" s="14"/>
      <c r="B475" s="220"/>
      <c r="C475" s="6" t="str">
        <f t="shared" si="77"/>
        <v>Other</v>
      </c>
      <c r="D475" t="s">
        <v>1676</v>
      </c>
      <c r="E475">
        <f>$C$389*E164</f>
        <v>31.20181019999999</v>
      </c>
      <c r="F475" t="s">
        <v>96</v>
      </c>
      <c r="G475" s="32" t="str">
        <f>$B$389&amp;" * "&amp;D164</f>
        <v>rigid_carbon * rigid_Oth_PRE_PYRO_mass_pyrolysis</v>
      </c>
      <c r="H475" s="228"/>
      <c r="I475" s="6" t="str">
        <f t="shared" si="80"/>
        <v>Other</v>
      </c>
      <c r="J475" t="s">
        <v>1677</v>
      </c>
      <c r="K475" s="33">
        <f t="shared" si="78"/>
        <v>3.4283897999999979</v>
      </c>
      <c r="L475" t="s">
        <v>96</v>
      </c>
      <c r="M475" t="str">
        <f t="shared" si="79"/>
        <v>rigid_Oth_SS_PRE_carbon_pyrolysis - rigid_Oth_PRE_PYRO_carbon_pyrolysis</v>
      </c>
      <c r="N475" s="14" t="s">
        <v>1005</v>
      </c>
    </row>
    <row r="476" spans="1:14" x14ac:dyDescent="0.2">
      <c r="A476" s="14"/>
      <c r="B476" s="220" t="s">
        <v>42</v>
      </c>
      <c r="C476" s="6" t="str">
        <f t="shared" si="77"/>
        <v>PET</v>
      </c>
      <c r="D476" t="s">
        <v>1678</v>
      </c>
      <c r="E476">
        <f>$C$390*E165</f>
        <v>0</v>
      </c>
      <c r="F476" t="s">
        <v>96</v>
      </c>
      <c r="G476" s="32" t="str">
        <f>$B$390&amp;" * "&amp;D165</f>
        <v>soft_carbon * soft_PET_PRE_PYRO_mass_pyrolysis</v>
      </c>
      <c r="H476" s="228" t="s">
        <v>42</v>
      </c>
      <c r="I476" s="6" t="str">
        <f t="shared" si="80"/>
        <v>PET</v>
      </c>
      <c r="J476" t="s">
        <v>1870</v>
      </c>
      <c r="K476" s="33">
        <f t="shared" si="78"/>
        <v>0</v>
      </c>
      <c r="L476" t="s">
        <v>96</v>
      </c>
      <c r="M476" t="str">
        <f t="shared" si="79"/>
        <v>soft_PET_SS_PRE_carbon_pyrolysis - soft_PET_PRE_PYRO_carbon_pyrolysis</v>
      </c>
      <c r="N476" s="14" t="s">
        <v>1005</v>
      </c>
    </row>
    <row r="477" spans="1:14" x14ac:dyDescent="0.2">
      <c r="A477" s="14"/>
      <c r="B477" s="220"/>
      <c r="C477" s="6" t="str">
        <f t="shared" si="77"/>
        <v>PE</v>
      </c>
      <c r="D477" t="s">
        <v>1679</v>
      </c>
      <c r="E477">
        <f>$C$390*E166</f>
        <v>152.90014118400001</v>
      </c>
      <c r="F477" t="s">
        <v>96</v>
      </c>
      <c r="G477" s="32" t="str">
        <f>$B$390&amp;" * "&amp;D166</f>
        <v>soft_carbon * soft_PE_PRE_PYRO_mass_pyrolysis</v>
      </c>
      <c r="H477" s="228"/>
      <c r="I477" s="6" t="str">
        <f t="shared" si="80"/>
        <v>PE</v>
      </c>
      <c r="J477" t="s">
        <v>1680</v>
      </c>
      <c r="K477" s="33">
        <f t="shared" si="78"/>
        <v>36.332706815999984</v>
      </c>
      <c r="L477" t="s">
        <v>96</v>
      </c>
      <c r="M477" t="str">
        <f t="shared" si="79"/>
        <v>soft_PE_SS_PRE_carbon_pyrolysis - soft_PE_PRE_PYRO_carbon_pyrolysis</v>
      </c>
      <c r="N477" s="14" t="s">
        <v>1005</v>
      </c>
    </row>
    <row r="478" spans="1:14" x14ac:dyDescent="0.2">
      <c r="A478" s="14"/>
      <c r="B478" s="220"/>
      <c r="C478" s="6" t="str">
        <f t="shared" si="77"/>
        <v>PP</v>
      </c>
      <c r="D478" t="s">
        <v>1681</v>
      </c>
      <c r="E478">
        <f>$C$390*E167</f>
        <v>0</v>
      </c>
      <c r="F478" t="s">
        <v>96</v>
      </c>
      <c r="G478" s="32" t="str">
        <f>$B$390&amp;" * "&amp;D167</f>
        <v>soft_carbon * soft_PP_PRE_PYRO_mass_pyrolysis</v>
      </c>
      <c r="H478" s="228"/>
      <c r="I478" s="6" t="str">
        <f t="shared" si="80"/>
        <v>PP</v>
      </c>
      <c r="J478" t="s">
        <v>1682</v>
      </c>
      <c r="K478" s="33">
        <f t="shared" si="78"/>
        <v>0</v>
      </c>
      <c r="L478" t="s">
        <v>96</v>
      </c>
      <c r="M478" t="str">
        <f t="shared" si="79"/>
        <v>soft_PP_SS_PRE_carbon_pyrolysis - soft_PP_PRE_PYRO_carbon_pyrolysis</v>
      </c>
      <c r="N478" s="14" t="s">
        <v>1005</v>
      </c>
    </row>
    <row r="479" spans="1:14" x14ac:dyDescent="0.2">
      <c r="A479" s="14"/>
      <c r="B479" s="220"/>
      <c r="C479" s="6" t="str">
        <f t="shared" si="77"/>
        <v>PS</v>
      </c>
      <c r="D479" t="s">
        <v>1683</v>
      </c>
      <c r="E479">
        <f>$C$390*E168</f>
        <v>0</v>
      </c>
      <c r="F479" t="s">
        <v>96</v>
      </c>
      <c r="G479" s="32" t="str">
        <f>$B$390&amp;" * "&amp;D168</f>
        <v>soft_carbon * soft_PS_PRE_PYRO_mass_pyrolysis</v>
      </c>
      <c r="H479" s="228"/>
      <c r="I479" s="6" t="str">
        <f t="shared" si="80"/>
        <v>PS</v>
      </c>
      <c r="J479" t="s">
        <v>1684</v>
      </c>
      <c r="K479" s="33">
        <f t="shared" si="78"/>
        <v>0</v>
      </c>
      <c r="L479" t="s">
        <v>96</v>
      </c>
      <c r="M479" t="str">
        <f t="shared" si="79"/>
        <v>soft_PS_SS_PRE_carbon_pyrolysis - soft_PS_PRE_PYRO_carbon_pyrolysis</v>
      </c>
      <c r="N479" s="14" t="s">
        <v>1005</v>
      </c>
    </row>
    <row r="480" spans="1:14" x14ac:dyDescent="0.2">
      <c r="A480" s="14"/>
      <c r="B480" s="227"/>
      <c r="C480" s="60" t="str">
        <f t="shared" si="77"/>
        <v>Other</v>
      </c>
      <c r="D480" s="44" t="s">
        <v>1685</v>
      </c>
      <c r="E480" s="44">
        <f>$C$390*E169</f>
        <v>56.832932016000022</v>
      </c>
      <c r="F480" s="44" t="s">
        <v>96</v>
      </c>
      <c r="G480" s="32" t="str">
        <f>$B$390&amp;" * "&amp;D169</f>
        <v>soft_carbon * soft_Oth_PRE_PYRO_mass_pyrolysis</v>
      </c>
      <c r="H480" s="229"/>
      <c r="I480" s="6" t="str">
        <f t="shared" si="80"/>
        <v>Other</v>
      </c>
      <c r="J480" t="s">
        <v>1686</v>
      </c>
      <c r="K480" s="33">
        <f t="shared" si="78"/>
        <v>6.2446839839999981</v>
      </c>
      <c r="L480" t="s">
        <v>96</v>
      </c>
      <c r="M480" t="str">
        <f t="shared" si="79"/>
        <v>soft_Oth_SS_PRE_carbon_pyrolysis - soft_Oth_PRE_PYRO_carbon_pyrolysis</v>
      </c>
      <c r="N480" s="14" t="s">
        <v>1005</v>
      </c>
    </row>
    <row r="481" spans="1:14" ht="25" customHeight="1" x14ac:dyDescent="0.2">
      <c r="A481" s="14"/>
      <c r="B481" s="214" t="s">
        <v>45</v>
      </c>
      <c r="C481" s="214"/>
      <c r="D481" s="214"/>
      <c r="E481" s="214"/>
      <c r="F481" s="214"/>
      <c r="G481" s="214"/>
      <c r="H481" s="214"/>
      <c r="I481" s="214"/>
      <c r="J481" s="214"/>
      <c r="K481" s="214"/>
      <c r="L481" s="214"/>
      <c r="M481" s="214"/>
      <c r="N481" s="14"/>
    </row>
    <row r="482" spans="1:14" x14ac:dyDescent="0.2">
      <c r="A482" s="14"/>
      <c r="B482" s="53" t="s">
        <v>46</v>
      </c>
      <c r="C482" s="10" t="s">
        <v>3</v>
      </c>
      <c r="D482" s="10" t="s">
        <v>4</v>
      </c>
      <c r="E482" s="53" t="s">
        <v>7</v>
      </c>
      <c r="F482" s="10"/>
      <c r="G482" s="40"/>
      <c r="H482" s="53" t="s">
        <v>49</v>
      </c>
      <c r="I482" s="53" t="s">
        <v>3</v>
      </c>
      <c r="J482" s="53" t="s">
        <v>4</v>
      </c>
      <c r="K482" s="53" t="s">
        <v>7</v>
      </c>
      <c r="L482" s="10"/>
      <c r="M482" s="10"/>
      <c r="N482" s="14"/>
    </row>
    <row r="483" spans="1:14" x14ac:dyDescent="0.2">
      <c r="A483" s="14"/>
      <c r="B483" t="s">
        <v>1778</v>
      </c>
      <c r="C483">
        <f>SUM(E466:E470)</f>
        <v>167.21406719999999</v>
      </c>
      <c r="D483" t="s">
        <v>96</v>
      </c>
      <c r="E483" t="s">
        <v>1928</v>
      </c>
      <c r="F483" s="2"/>
      <c r="G483" s="4"/>
      <c r="H483" t="s">
        <v>1872</v>
      </c>
      <c r="I483" s="33">
        <f>SUM(K466:K470)</f>
        <v>18.3731328</v>
      </c>
      <c r="J483" t="s">
        <v>96</v>
      </c>
      <c r="K483" t="s">
        <v>1932</v>
      </c>
      <c r="L483" s="2"/>
      <c r="M483" s="2"/>
      <c r="N483" s="14"/>
    </row>
    <row r="484" spans="1:14" x14ac:dyDescent="0.2">
      <c r="A484" s="14"/>
      <c r="B484" t="s">
        <v>1779</v>
      </c>
      <c r="C484">
        <f>SUM(E471:E475)</f>
        <v>122.23767995999998</v>
      </c>
      <c r="D484" t="str">
        <f>D483</f>
        <v>kg C</v>
      </c>
      <c r="E484" t="s">
        <v>1929</v>
      </c>
      <c r="F484" s="2"/>
      <c r="G484" s="4"/>
      <c r="H484" t="s">
        <v>1873</v>
      </c>
      <c r="I484" s="33">
        <f>SUM(K471:K475)</f>
        <v>16.283120040000004</v>
      </c>
      <c r="J484" t="str">
        <f>J483</f>
        <v>kg C</v>
      </c>
      <c r="K484" t="s">
        <v>1933</v>
      </c>
      <c r="L484" s="2"/>
      <c r="M484" s="2"/>
      <c r="N484" s="14"/>
    </row>
    <row r="485" spans="1:14" ht="16" thickBot="1" x14ac:dyDescent="0.25">
      <c r="A485" s="14"/>
      <c r="B485" s="8" t="s">
        <v>1780</v>
      </c>
      <c r="C485" s="8">
        <f>SUM(E476:E480)</f>
        <v>209.73307320000004</v>
      </c>
      <c r="D485" s="8" t="str">
        <f>D484</f>
        <v>kg C</v>
      </c>
      <c r="E485" s="8" t="s">
        <v>1930</v>
      </c>
      <c r="F485" s="37"/>
      <c r="G485" s="38"/>
      <c r="H485" s="8" t="s">
        <v>1874</v>
      </c>
      <c r="I485" s="34">
        <f>SUM(K476:K480)</f>
        <v>42.577390799999982</v>
      </c>
      <c r="J485" s="8" t="s">
        <v>96</v>
      </c>
      <c r="K485" s="8" t="s">
        <v>1934</v>
      </c>
      <c r="L485" s="37"/>
      <c r="M485" s="37"/>
      <c r="N485" s="14"/>
    </row>
    <row r="486" spans="1:14" ht="16" thickTop="1" x14ac:dyDescent="0.2">
      <c r="A486" s="14"/>
      <c r="B486" s="44" t="s">
        <v>1687</v>
      </c>
      <c r="C486" s="44">
        <f>SUM(C483:C485)</f>
        <v>499.18482036</v>
      </c>
      <c r="D486" s="44" t="s">
        <v>96</v>
      </c>
      <c r="E486" s="44" t="s">
        <v>1931</v>
      </c>
      <c r="F486" s="56"/>
      <c r="G486" s="57"/>
      <c r="H486" s="44" t="s">
        <v>1871</v>
      </c>
      <c r="I486" s="62">
        <f>SUM(I483:I485)</f>
        <v>77.233643639999997</v>
      </c>
      <c r="J486" s="44" t="s">
        <v>96</v>
      </c>
      <c r="K486" s="44" t="s">
        <v>1935</v>
      </c>
      <c r="L486" s="56"/>
      <c r="M486" s="56"/>
      <c r="N486" s="14"/>
    </row>
    <row r="487" spans="1:14" x14ac:dyDescent="0.2">
      <c r="A487" s="14"/>
      <c r="B487" s="125" t="s">
        <v>2704</v>
      </c>
      <c r="C487" s="126" t="str">
        <f>IF(C486+I486=C457,"true")</f>
        <v>true</v>
      </c>
      <c r="D487" s="125"/>
      <c r="E487" s="125"/>
      <c r="F487" s="125"/>
      <c r="G487" s="125"/>
      <c r="H487" s="125"/>
      <c r="I487" s="126"/>
      <c r="J487" s="125"/>
      <c r="K487" s="125"/>
      <c r="L487" s="125"/>
      <c r="M487" s="125"/>
      <c r="N487" s="14"/>
    </row>
    <row r="488" spans="1:14" x14ac:dyDescent="0.2">
      <c r="A488" s="14"/>
      <c r="B488" s="14"/>
      <c r="C488" s="71"/>
      <c r="D488" s="14"/>
      <c r="E488" s="14"/>
      <c r="F488" s="14"/>
      <c r="G488" s="14"/>
      <c r="H488" s="14"/>
      <c r="I488" s="71"/>
      <c r="J488" s="14"/>
      <c r="K488" s="14"/>
      <c r="L488" s="14"/>
      <c r="M488" s="14"/>
      <c r="N488" s="14"/>
    </row>
    <row r="489" spans="1:14" x14ac:dyDescent="0.2">
      <c r="A489" s="14"/>
      <c r="B489" s="14"/>
      <c r="C489" s="71"/>
      <c r="D489" s="14"/>
      <c r="E489" s="14"/>
      <c r="F489" s="14"/>
      <c r="G489" s="14"/>
      <c r="H489" s="14"/>
      <c r="I489" s="71"/>
      <c r="J489" s="14"/>
      <c r="K489" s="14"/>
      <c r="L489" s="14"/>
      <c r="M489" s="14"/>
      <c r="N489" s="14"/>
    </row>
    <row r="490" spans="1:14" x14ac:dyDescent="0.2">
      <c r="A490" s="14"/>
      <c r="B490" s="14"/>
      <c r="C490" s="71"/>
      <c r="D490" s="14"/>
      <c r="E490" s="14"/>
      <c r="F490" s="14"/>
      <c r="G490" s="14"/>
      <c r="H490" s="14"/>
      <c r="I490" s="71"/>
      <c r="J490" s="14"/>
      <c r="K490" s="14"/>
      <c r="L490" s="14"/>
      <c r="M490" s="14"/>
      <c r="N490" s="14"/>
    </row>
    <row r="491" spans="1:14" ht="25" customHeight="1" x14ac:dyDescent="0.2">
      <c r="A491" s="14"/>
      <c r="B491" s="214" t="str">
        <f>B180</f>
        <v>Pyrolysis (PYRO) / Glycolysis (GLYCO)</v>
      </c>
      <c r="C491" s="214"/>
      <c r="D491" s="214"/>
      <c r="E491" s="214"/>
      <c r="F491" s="214"/>
      <c r="G491" s="214"/>
      <c r="H491" s="214"/>
      <c r="I491" s="214"/>
      <c r="J491" s="214"/>
      <c r="K491" s="214"/>
      <c r="L491" s="214"/>
      <c r="M491" s="214"/>
      <c r="N491" s="14"/>
    </row>
    <row r="492" spans="1:14" ht="25" customHeight="1" x14ac:dyDescent="0.2">
      <c r="A492" s="14"/>
      <c r="B492" s="239" t="str">
        <f>B189</f>
        <v>Output from pyrolysis (PYRO) / Glycolysis (GLYCO)</v>
      </c>
      <c r="C492" s="239"/>
      <c r="D492" s="239"/>
      <c r="E492" s="239"/>
      <c r="F492" s="239"/>
      <c r="G492" s="239"/>
      <c r="H492" s="239"/>
      <c r="I492" s="239"/>
      <c r="J492" s="239"/>
      <c r="K492" s="239"/>
      <c r="L492" s="239"/>
      <c r="M492" s="239"/>
      <c r="N492" s="14"/>
    </row>
    <row r="493" spans="1:14" ht="25" customHeight="1" x14ac:dyDescent="0.2">
      <c r="A493" s="14"/>
      <c r="B493" s="239" t="str">
        <f>B190</f>
        <v>To liquid</v>
      </c>
      <c r="C493" s="239"/>
      <c r="D493" s="239"/>
      <c r="E493" s="239"/>
      <c r="F493" s="239"/>
      <c r="G493" s="240"/>
      <c r="H493" s="239" t="str">
        <f>H190</f>
        <v>To solid</v>
      </c>
      <c r="I493" s="239"/>
      <c r="J493" s="239"/>
      <c r="K493" s="239"/>
      <c r="L493" s="239"/>
      <c r="M493" s="239"/>
      <c r="N493" s="14"/>
    </row>
    <row r="494" spans="1:14" x14ac:dyDescent="0.2">
      <c r="A494" s="14"/>
      <c r="B494" s="2" t="s">
        <v>21</v>
      </c>
      <c r="C494" s="3" t="s">
        <v>20</v>
      </c>
      <c r="D494" s="2" t="s">
        <v>99</v>
      </c>
      <c r="E494" s="2" t="s">
        <v>3</v>
      </c>
      <c r="F494" s="2" t="s">
        <v>4</v>
      </c>
      <c r="G494" s="4" t="s">
        <v>43</v>
      </c>
      <c r="H494" s="2" t="s">
        <v>21</v>
      </c>
      <c r="I494" s="3" t="s">
        <v>20</v>
      </c>
      <c r="J494" s="2" t="str">
        <f>D494</f>
        <v>Name</v>
      </c>
      <c r="K494" s="2" t="s">
        <v>3</v>
      </c>
      <c r="L494" s="2" t="s">
        <v>4</v>
      </c>
      <c r="M494" s="2" t="s">
        <v>43</v>
      </c>
      <c r="N494" s="14"/>
    </row>
    <row r="495" spans="1:14" x14ac:dyDescent="0.2">
      <c r="A495" s="14"/>
      <c r="B495" s="220" t="s">
        <v>14</v>
      </c>
      <c r="C495" s="6" t="str">
        <f t="shared" ref="C495:C509" si="81">C466</f>
        <v>PET</v>
      </c>
      <c r="D495" t="s">
        <v>1782</v>
      </c>
      <c r="E495">
        <f>$C$388*E192</f>
        <v>125.63350248959999</v>
      </c>
      <c r="F495" t="s">
        <v>96</v>
      </c>
      <c r="G495" s="32" t="str">
        <f>$B$388&amp;" * "&amp;D192</f>
        <v>bottle_carbon * bottle_PET_PYRO_PUR_mass_pyrolysis</v>
      </c>
      <c r="H495" s="228" t="s">
        <v>14</v>
      </c>
      <c r="I495" s="6" t="str">
        <f>C495</f>
        <v>PET</v>
      </c>
      <c r="J495" t="s">
        <v>1800</v>
      </c>
      <c r="K495">
        <f>$C$388*K192</f>
        <v>7.0508598335999997</v>
      </c>
      <c r="L495" t="s">
        <v>96</v>
      </c>
      <c r="M495" t="str">
        <f>$B$388&amp;" * "&amp;J192</f>
        <v>bottle_carbon * bottle_PET_PYRO_INC_mass_pyrolysis</v>
      </c>
      <c r="N495" s="14"/>
    </row>
    <row r="496" spans="1:14" x14ac:dyDescent="0.2">
      <c r="A496" s="14"/>
      <c r="B496" s="220"/>
      <c r="C496" s="6" t="str">
        <f t="shared" si="81"/>
        <v>PE</v>
      </c>
      <c r="D496" t="s">
        <v>1783</v>
      </c>
      <c r="E496">
        <f>$C$388*E193</f>
        <v>31.135259312639999</v>
      </c>
      <c r="F496" t="s">
        <v>96</v>
      </c>
      <c r="G496" s="32" t="str">
        <f>$B$388&amp;" * "&amp;D193</f>
        <v>bottle_carbon * bottle_PE_PYRO_PUR_mass_pyrolysis</v>
      </c>
      <c r="H496" s="228"/>
      <c r="I496" s="6" t="str">
        <f t="shared" ref="I496:I509" si="82">C496</f>
        <v>PE</v>
      </c>
      <c r="J496" t="s">
        <v>1801</v>
      </c>
      <c r="K496">
        <f>$C$388*K193</f>
        <v>2.8872295603199998</v>
      </c>
      <c r="L496" t="s">
        <v>96</v>
      </c>
      <c r="M496" t="str">
        <f>$B$388&amp;" * "&amp;J193</f>
        <v>bottle_carbon * bottle_PE_PYRO_INC_mass_pyrolysis</v>
      </c>
      <c r="N496" s="14"/>
    </row>
    <row r="497" spans="1:14" x14ac:dyDescent="0.2">
      <c r="A497" s="14"/>
      <c r="B497" s="220"/>
      <c r="C497" s="6" t="str">
        <f t="shared" si="81"/>
        <v>PP</v>
      </c>
      <c r="D497" t="s">
        <v>1784</v>
      </c>
      <c r="E497">
        <f>$C$388*E194</f>
        <v>0</v>
      </c>
      <c r="F497" t="s">
        <v>96</v>
      </c>
      <c r="G497" s="32" t="str">
        <f>$B$388&amp;" * "&amp;D194</f>
        <v>bottle_carbon * bottle_PP_PYRO_PUR_mass_pyrolysis</v>
      </c>
      <c r="H497" s="228"/>
      <c r="I497" s="6" t="str">
        <f t="shared" si="82"/>
        <v>PP</v>
      </c>
      <c r="J497" t="s">
        <v>1802</v>
      </c>
      <c r="K497">
        <f>$C$388*K194</f>
        <v>0</v>
      </c>
      <c r="L497" t="s">
        <v>96</v>
      </c>
      <c r="M497" t="str">
        <f>$B$388&amp;" * "&amp;J194</f>
        <v>bottle_carbon * bottle_PP_PYRO_INC_mass_pyrolysis</v>
      </c>
      <c r="N497" s="14"/>
    </row>
    <row r="498" spans="1:14" x14ac:dyDescent="0.2">
      <c r="A498" s="14"/>
      <c r="B498" s="220"/>
      <c r="C498" s="6" t="str">
        <f t="shared" si="81"/>
        <v>PS</v>
      </c>
      <c r="D498" t="s">
        <v>1785</v>
      </c>
      <c r="E498">
        <f>$C$388*E195</f>
        <v>0</v>
      </c>
      <c r="F498" t="s">
        <v>96</v>
      </c>
      <c r="G498" s="32" t="str">
        <f>$B$388&amp;" * "&amp;D195</f>
        <v>bottle_carbon * bottle_PS_PYRO_PUR_mass_pyrolysis</v>
      </c>
      <c r="H498" s="228"/>
      <c r="I498" s="6" t="str">
        <f t="shared" si="82"/>
        <v>PS</v>
      </c>
      <c r="J498" t="s">
        <v>1803</v>
      </c>
      <c r="K498">
        <f>$C$388*K195</f>
        <v>0</v>
      </c>
      <c r="L498" t="s">
        <v>96</v>
      </c>
      <c r="M498" t="str">
        <f>$B$388&amp;" * "&amp;J195</f>
        <v>bottle_carbon * bottle_PS_PYRO_INC_mass_pyrolysis</v>
      </c>
      <c r="N498" s="14"/>
    </row>
    <row r="499" spans="1:14" x14ac:dyDescent="0.2">
      <c r="A499" s="14"/>
      <c r="B499" s="220"/>
      <c r="C499" s="6" t="str">
        <f t="shared" si="81"/>
        <v>Other</v>
      </c>
      <c r="D499" t="s">
        <v>1786</v>
      </c>
      <c r="E499">
        <f>$C$388*E196</f>
        <v>0</v>
      </c>
      <c r="F499" t="s">
        <v>96</v>
      </c>
      <c r="G499" s="32" t="str">
        <f>$B$388&amp;" * "&amp;D196</f>
        <v>bottle_carbon * bottle_Oth_PYRO_PUR_mass_pyrolysis</v>
      </c>
      <c r="H499" s="228"/>
      <c r="I499" s="6" t="str">
        <f t="shared" si="82"/>
        <v>Other</v>
      </c>
      <c r="J499" t="s">
        <v>1804</v>
      </c>
      <c r="K499">
        <f>$C$388*K196</f>
        <v>0</v>
      </c>
      <c r="L499" t="s">
        <v>96</v>
      </c>
      <c r="M499" t="str">
        <f>$B$388&amp;" * "&amp;J196</f>
        <v>bottle_carbon * bottle_Oth_PYRO_INC_mass_pyrolysis</v>
      </c>
      <c r="N499" s="14"/>
    </row>
    <row r="500" spans="1:14" x14ac:dyDescent="0.2">
      <c r="A500" s="14"/>
      <c r="B500" s="220" t="s">
        <v>15</v>
      </c>
      <c r="C500" s="6" t="str">
        <f t="shared" si="81"/>
        <v>PET</v>
      </c>
      <c r="D500" t="s">
        <v>1787</v>
      </c>
      <c r="E500">
        <f>$C$389*E197</f>
        <v>24.4622191968</v>
      </c>
      <c r="F500" t="s">
        <v>96</v>
      </c>
      <c r="G500" s="32" t="str">
        <f>$B$389&amp;" * "&amp;D197</f>
        <v>rigid_carbon * rigid_PET_PYRO_PUR_mass_pyrolysis</v>
      </c>
      <c r="H500" s="228" t="s">
        <v>15</v>
      </c>
      <c r="I500" s="6" t="str">
        <f t="shared" si="82"/>
        <v>PET</v>
      </c>
      <c r="J500" t="s">
        <v>1805</v>
      </c>
      <c r="K500">
        <f>$C$389*K197</f>
        <v>1.3728796487999999</v>
      </c>
      <c r="L500" t="s">
        <v>96</v>
      </c>
      <c r="M500" t="str">
        <f>$B$389&amp;" * "&amp;J197</f>
        <v>rigid_carbon * rigid_PET_PYRO_INC_mass_pyrolysis</v>
      </c>
      <c r="N500" s="14"/>
    </row>
    <row r="501" spans="1:14" x14ac:dyDescent="0.2">
      <c r="A501" s="14"/>
      <c r="B501" s="220"/>
      <c r="C501" s="6" t="str">
        <f t="shared" si="81"/>
        <v>PE</v>
      </c>
      <c r="D501" t="s">
        <v>1788</v>
      </c>
      <c r="E501">
        <f>$C$389*E198</f>
        <v>14.939426723760002</v>
      </c>
      <c r="F501" t="s">
        <v>96</v>
      </c>
      <c r="G501" s="32" t="str">
        <f>$B$389&amp;" * "&amp;D198</f>
        <v>rigid_carbon * rigid_PE_PYRO_PUR_mass_pyrolysis</v>
      </c>
      <c r="H501" s="228"/>
      <c r="I501" s="6" t="str">
        <f t="shared" si="82"/>
        <v>PE</v>
      </c>
      <c r="J501" t="s">
        <v>1806</v>
      </c>
      <c r="K501">
        <f>$C$389*K198</f>
        <v>1.3853603728799999</v>
      </c>
      <c r="L501" t="s">
        <v>96</v>
      </c>
      <c r="M501" t="str">
        <f>$B$389&amp;" * "&amp;J198</f>
        <v>rigid_carbon * rigid_PE_PYRO_INC_mass_pyrolysis</v>
      </c>
      <c r="N501" s="14"/>
    </row>
    <row r="502" spans="1:14" x14ac:dyDescent="0.2">
      <c r="A502" s="14"/>
      <c r="B502" s="220"/>
      <c r="C502" s="6" t="str">
        <f t="shared" si="81"/>
        <v>PP</v>
      </c>
      <c r="D502" t="s">
        <v>1789</v>
      </c>
      <c r="E502">
        <f>$C$389*E199</f>
        <v>33.507073353599999</v>
      </c>
      <c r="F502" t="s">
        <v>96</v>
      </c>
      <c r="G502" s="32" t="str">
        <f>$B$389&amp;" * "&amp;D199</f>
        <v>rigid_carbon * rigid_PP_PYRO_PUR_mass_pyrolysis</v>
      </c>
      <c r="H502" s="228"/>
      <c r="I502" s="6" t="str">
        <f t="shared" si="82"/>
        <v>PP</v>
      </c>
      <c r="J502" t="s">
        <v>1807</v>
      </c>
      <c r="K502">
        <f>$C$389*K199</f>
        <v>2.9601340876799997</v>
      </c>
      <c r="L502" t="s">
        <v>96</v>
      </c>
      <c r="M502" t="str">
        <f>$B$389&amp;" * "&amp;J199</f>
        <v>rigid_carbon * rigid_PP_PYRO_INC_mass_pyrolysis</v>
      </c>
      <c r="N502" s="14"/>
    </row>
    <row r="503" spans="1:14" x14ac:dyDescent="0.2">
      <c r="A503" s="14"/>
      <c r="B503" s="220"/>
      <c r="C503" s="6" t="str">
        <f t="shared" si="81"/>
        <v>PS</v>
      </c>
      <c r="D503" t="s">
        <v>1790</v>
      </c>
      <c r="E503">
        <f>$C$389*E200</f>
        <v>4.3869745141200003</v>
      </c>
      <c r="F503" t="s">
        <v>96</v>
      </c>
      <c r="G503" s="32" t="str">
        <f>$B$389&amp;" * "&amp;D200</f>
        <v>rigid_carbon * rigid_PS_PYRO_PUR_mass_pyrolysis</v>
      </c>
      <c r="H503" s="228"/>
      <c r="I503" s="6" t="str">
        <f t="shared" si="82"/>
        <v>PS</v>
      </c>
      <c r="J503" t="s">
        <v>1808</v>
      </c>
      <c r="K503">
        <f>$C$389*K200</f>
        <v>0.34321991219999998</v>
      </c>
      <c r="L503" t="s">
        <v>96</v>
      </c>
      <c r="M503" t="str">
        <f>$B$389&amp;" * "&amp;J200</f>
        <v>rigid_carbon * rigid_PS_PYRO_INC_mass_pyrolysis</v>
      </c>
      <c r="N503" s="14"/>
    </row>
    <row r="504" spans="1:14" x14ac:dyDescent="0.2">
      <c r="A504" s="14"/>
      <c r="B504" s="220"/>
      <c r="C504" s="6" t="str">
        <f t="shared" si="81"/>
        <v>Other</v>
      </c>
      <c r="D504" t="s">
        <v>1791</v>
      </c>
      <c r="E504">
        <f>$C$389*E201</f>
        <v>21.934872570599993</v>
      </c>
      <c r="F504" t="s">
        <v>96</v>
      </c>
      <c r="G504" s="32" t="str">
        <f>$B$389&amp;" * "&amp;D201</f>
        <v>rigid_carbon * rigid_Oth_PYRO_PUR_mass_pyrolysis</v>
      </c>
      <c r="H504" s="228"/>
      <c r="I504" s="6" t="str">
        <f t="shared" si="82"/>
        <v>Other</v>
      </c>
      <c r="J504" t="s">
        <v>1809</v>
      </c>
      <c r="K504">
        <f>$C$389*K201</f>
        <v>1.7160995609999994</v>
      </c>
      <c r="L504" t="s">
        <v>96</v>
      </c>
      <c r="M504" t="str">
        <f>$B$389&amp;" * "&amp;J201</f>
        <v>rigid_carbon * rigid_Oth_PYRO_INC_mass_pyrolysis</v>
      </c>
      <c r="N504" s="14"/>
    </row>
    <row r="505" spans="1:14" x14ac:dyDescent="0.2">
      <c r="A505" s="14"/>
      <c r="B505" s="220" t="s">
        <v>42</v>
      </c>
      <c r="C505" s="6" t="str">
        <f t="shared" si="81"/>
        <v>PET</v>
      </c>
      <c r="D505" t="s">
        <v>1792</v>
      </c>
      <c r="E505">
        <f>$C$390*E202</f>
        <v>0</v>
      </c>
      <c r="F505" t="s">
        <v>96</v>
      </c>
      <c r="G505" s="32" t="str">
        <f>$B$390&amp;" * "&amp;D202</f>
        <v>soft_carbon * soft_PET_PYRO_PUR_mass_pyrolysis</v>
      </c>
      <c r="H505" s="220" t="s">
        <v>42</v>
      </c>
      <c r="I505" s="6" t="str">
        <f t="shared" si="82"/>
        <v>PET</v>
      </c>
      <c r="J505" t="s">
        <v>1875</v>
      </c>
      <c r="K505">
        <f>$C$390*K202</f>
        <v>0</v>
      </c>
      <c r="L505" t="s">
        <v>96</v>
      </c>
      <c r="M505" t="str">
        <f>$B$390&amp;" * "&amp;J202</f>
        <v>soft_carbon * soft_PET_PYRO_INC_mass_pyrolysis</v>
      </c>
      <c r="N505" s="14"/>
    </row>
    <row r="506" spans="1:14" x14ac:dyDescent="0.2">
      <c r="A506" s="14"/>
      <c r="B506" s="220"/>
      <c r="C506" s="6" t="str">
        <f t="shared" si="81"/>
        <v>PE</v>
      </c>
      <c r="D506" t="s">
        <v>1793</v>
      </c>
      <c r="E506">
        <f>$C$390*E203</f>
        <v>122.01431266483202</v>
      </c>
      <c r="F506" t="s">
        <v>96</v>
      </c>
      <c r="G506" s="32" t="str">
        <f>$B$390&amp;" * "&amp;D203</f>
        <v>soft_carbon * soft_PE_PYRO_PUR_mass_pyrolysis</v>
      </c>
      <c r="H506" s="220"/>
      <c r="I506" s="6" t="str">
        <f t="shared" si="82"/>
        <v>PE</v>
      </c>
      <c r="J506" t="s">
        <v>1810</v>
      </c>
      <c r="K506">
        <f>$C$390*K203</f>
        <v>11.314610447616001</v>
      </c>
      <c r="L506" t="s">
        <v>96</v>
      </c>
      <c r="M506" t="str">
        <f>$B$390&amp;" * "&amp;J203</f>
        <v>soft_carbon * soft_PE_PYRO_INC_mass_pyrolysis</v>
      </c>
      <c r="N506" s="14"/>
    </row>
    <row r="507" spans="1:14" x14ac:dyDescent="0.2">
      <c r="A507" s="14"/>
      <c r="B507" s="220"/>
      <c r="C507" s="6" t="str">
        <f t="shared" si="81"/>
        <v>PP</v>
      </c>
      <c r="D507" t="s">
        <v>1794</v>
      </c>
      <c r="E507">
        <f>$C$390*E204</f>
        <v>0</v>
      </c>
      <c r="F507" t="s">
        <v>96</v>
      </c>
      <c r="G507" s="32" t="str">
        <f>$B$390&amp;" * "&amp;D204</f>
        <v>soft_carbon * soft_PP_PYRO_PUR_mass_pyrolysis</v>
      </c>
      <c r="H507" s="220"/>
      <c r="I507" s="6" t="str">
        <f t="shared" si="82"/>
        <v>PP</v>
      </c>
      <c r="J507" t="s">
        <v>1811</v>
      </c>
      <c r="K507">
        <f>$C$390*K204</f>
        <v>0</v>
      </c>
      <c r="L507" t="s">
        <v>96</v>
      </c>
      <c r="M507" t="str">
        <f>$B$390&amp;" * "&amp;J204</f>
        <v>soft_carbon * soft_PP_PYRO_INC_mass_pyrolysis</v>
      </c>
      <c r="N507" s="14"/>
    </row>
    <row r="508" spans="1:14" x14ac:dyDescent="0.2">
      <c r="A508" s="14"/>
      <c r="B508" s="220"/>
      <c r="C508" s="6" t="str">
        <f t="shared" si="81"/>
        <v>PS</v>
      </c>
      <c r="D508" t="s">
        <v>1795</v>
      </c>
      <c r="E508">
        <f>$C$390*E205</f>
        <v>0</v>
      </c>
      <c r="F508" t="s">
        <v>96</v>
      </c>
      <c r="G508" s="32" t="str">
        <f>$B$390&amp;" * "&amp;D205</f>
        <v>soft_carbon * soft_PS_PYRO_PUR_mass_pyrolysis</v>
      </c>
      <c r="H508" s="220"/>
      <c r="I508" s="6" t="str">
        <f t="shared" si="82"/>
        <v>PS</v>
      </c>
      <c r="J508" t="s">
        <v>1812</v>
      </c>
      <c r="K508">
        <f>$C$390*K205</f>
        <v>0</v>
      </c>
      <c r="L508" t="s">
        <v>96</v>
      </c>
      <c r="M508" t="str">
        <f>$B$390&amp;" * "&amp;J205</f>
        <v>soft_carbon * soft_PS_PYRO_INC_mass_pyrolysis</v>
      </c>
      <c r="N508" s="14"/>
    </row>
    <row r="509" spans="1:14" x14ac:dyDescent="0.2">
      <c r="A509" s="14"/>
      <c r="B509" s="227"/>
      <c r="C509" s="60" t="str">
        <f t="shared" si="81"/>
        <v>Other</v>
      </c>
      <c r="D509" s="44" t="s">
        <v>1796</v>
      </c>
      <c r="E509" s="44">
        <f>$C$390*E206</f>
        <v>39.953551207248012</v>
      </c>
      <c r="F509" s="44" t="s">
        <v>96</v>
      </c>
      <c r="G509" s="32" t="str">
        <f>$B$390&amp;" * "&amp;D206</f>
        <v>soft_carbon * soft_Oth_PYRO_PUR_mass_pyrolysis</v>
      </c>
      <c r="H509" s="220"/>
      <c r="I509" s="6" t="str">
        <f t="shared" si="82"/>
        <v>Other</v>
      </c>
      <c r="J509" t="s">
        <v>1813</v>
      </c>
      <c r="K509">
        <f>$C$390*K206</f>
        <v>3.1258112608800013</v>
      </c>
      <c r="L509" t="s">
        <v>96</v>
      </c>
      <c r="M509" t="str">
        <f>$B$390&amp;" * "&amp;J206</f>
        <v>soft_carbon * soft_Oth_PYRO_INC_mass_pyrolysis</v>
      </c>
      <c r="N509" s="14"/>
    </row>
    <row r="510" spans="1:14" ht="25" customHeight="1" x14ac:dyDescent="0.2">
      <c r="A510" s="14"/>
      <c r="B510" s="214" t="s">
        <v>45</v>
      </c>
      <c r="C510" s="214"/>
      <c r="D510" s="214"/>
      <c r="E510" s="214"/>
      <c r="F510" s="214"/>
      <c r="G510" s="214"/>
      <c r="H510" s="214"/>
      <c r="I510" s="214"/>
      <c r="J510" s="214"/>
      <c r="K510" s="214"/>
      <c r="L510" s="214"/>
      <c r="M510" s="214"/>
      <c r="N510" s="14"/>
    </row>
    <row r="511" spans="1:14" x14ac:dyDescent="0.2">
      <c r="A511" s="14"/>
      <c r="B511" s="53" t="s">
        <v>46</v>
      </c>
      <c r="C511" s="10" t="s">
        <v>3</v>
      </c>
      <c r="D511" s="10" t="s">
        <v>4</v>
      </c>
      <c r="E511" s="53" t="s">
        <v>7</v>
      </c>
      <c r="F511" s="10"/>
      <c r="G511" s="40"/>
      <c r="H511" s="53" t="s">
        <v>49</v>
      </c>
      <c r="I511" s="53" t="s">
        <v>3</v>
      </c>
      <c r="J511" s="53" t="s">
        <v>4</v>
      </c>
      <c r="K511" s="53" t="s">
        <v>7</v>
      </c>
      <c r="L511" s="10"/>
      <c r="M511" s="10"/>
      <c r="N511" s="14"/>
    </row>
    <row r="512" spans="1:14" x14ac:dyDescent="0.2">
      <c r="A512" s="14"/>
      <c r="B512" t="s">
        <v>1799</v>
      </c>
      <c r="C512">
        <f>SUM(E495:E499)</f>
        <v>156.76876180223999</v>
      </c>
      <c r="D512" t="s">
        <v>96</v>
      </c>
      <c r="E512" t="s">
        <v>1131</v>
      </c>
      <c r="F512" s="2"/>
      <c r="G512" s="4"/>
      <c r="H512" t="s">
        <v>1815</v>
      </c>
      <c r="I512">
        <f>SUM(K495:K499)</f>
        <v>9.9380893939199986</v>
      </c>
      <c r="J512" t="s">
        <v>96</v>
      </c>
      <c r="K512" t="s">
        <v>1924</v>
      </c>
      <c r="L512" s="2"/>
      <c r="M512" s="2"/>
      <c r="N512" s="14"/>
    </row>
    <row r="513" spans="1:14" x14ac:dyDescent="0.2">
      <c r="A513" s="14"/>
      <c r="B513" t="s">
        <v>1797</v>
      </c>
      <c r="C513">
        <f>SUM(E500:E504)</f>
        <v>99.230566358879997</v>
      </c>
      <c r="D513" t="str">
        <f>D512</f>
        <v>kg C</v>
      </c>
      <c r="E513" t="s">
        <v>1132</v>
      </c>
      <c r="F513" s="2"/>
      <c r="G513" s="4"/>
      <c r="H513" t="s">
        <v>1816</v>
      </c>
      <c r="I513">
        <f>SUM(K500:K504)</f>
        <v>7.7776935825599987</v>
      </c>
      <c r="J513" t="str">
        <f>J512</f>
        <v>kg C</v>
      </c>
      <c r="K513" t="s">
        <v>1925</v>
      </c>
      <c r="L513" s="2"/>
      <c r="M513" s="2"/>
      <c r="N513" s="14"/>
    </row>
    <row r="514" spans="1:14" ht="16" thickBot="1" x14ac:dyDescent="0.25">
      <c r="A514" s="14"/>
      <c r="B514" s="8" t="s">
        <v>1798</v>
      </c>
      <c r="C514" s="8">
        <f>SUM(E505:E509)</f>
        <v>161.96786387208004</v>
      </c>
      <c r="D514" s="8" t="str">
        <f>D513</f>
        <v>kg C</v>
      </c>
      <c r="E514" s="8" t="s">
        <v>1133</v>
      </c>
      <c r="F514" s="37"/>
      <c r="G514" s="38"/>
      <c r="H514" s="8" t="s">
        <v>1817</v>
      </c>
      <c r="I514" s="8">
        <f>SUM(K505:K509)</f>
        <v>14.440421708496002</v>
      </c>
      <c r="J514" s="8" t="s">
        <v>96</v>
      </c>
      <c r="K514" s="8" t="s">
        <v>1926</v>
      </c>
      <c r="L514" s="37"/>
      <c r="M514" s="37"/>
      <c r="N514" s="14"/>
    </row>
    <row r="515" spans="1:14" ht="16" thickTop="1" x14ac:dyDescent="0.2">
      <c r="A515" s="14"/>
      <c r="B515" s="80" t="s">
        <v>1781</v>
      </c>
      <c r="C515" s="80">
        <f>SUM(C512:C514)</f>
        <v>417.96719203320004</v>
      </c>
      <c r="D515" s="80" t="s">
        <v>10</v>
      </c>
      <c r="E515" s="80" t="s">
        <v>1136</v>
      </c>
      <c r="F515" s="82"/>
      <c r="G515" s="84"/>
      <c r="H515" s="80" t="s">
        <v>1814</v>
      </c>
      <c r="I515" s="80">
        <f>SUM(I512:I514)</f>
        <v>32.156204684975997</v>
      </c>
      <c r="J515" s="80" t="s">
        <v>96</v>
      </c>
      <c r="K515" s="80" t="s">
        <v>1927</v>
      </c>
      <c r="L515" s="82"/>
      <c r="M515" s="82"/>
      <c r="N515" s="14"/>
    </row>
    <row r="516" spans="1:14" x14ac:dyDescent="0.2">
      <c r="A516" s="14"/>
      <c r="B516" s="94" t="s">
        <v>2151</v>
      </c>
      <c r="C516" s="60">
        <f>C486-C515-I515</f>
        <v>49.061423641823971</v>
      </c>
      <c r="D516" s="44" t="s">
        <v>96</v>
      </c>
      <c r="E516" s="62"/>
      <c r="F516" s="44"/>
      <c r="G516" s="61"/>
      <c r="H516" s="94"/>
      <c r="I516" s="60"/>
      <c r="J516" s="44"/>
      <c r="K516" s="62"/>
      <c r="L516" s="44"/>
      <c r="M516" s="44"/>
      <c r="N516" s="14"/>
    </row>
    <row r="517" spans="1:14" x14ac:dyDescent="0.2">
      <c r="A517" s="14"/>
      <c r="B517" s="145" t="s">
        <v>2704</v>
      </c>
      <c r="C517" s="138" t="str">
        <f>IF(C515+C516+I515=C486,"true")</f>
        <v>true</v>
      </c>
      <c r="D517" s="125"/>
      <c r="E517" s="126"/>
      <c r="F517" s="125"/>
      <c r="G517" s="125"/>
      <c r="H517" s="145"/>
      <c r="I517" s="138"/>
      <c r="J517" s="125"/>
      <c r="K517" s="126"/>
      <c r="L517" s="125"/>
      <c r="M517" s="125"/>
      <c r="N517" s="14"/>
    </row>
    <row r="518" spans="1:14" x14ac:dyDescent="0.2">
      <c r="A518" s="14"/>
      <c r="B518" s="95"/>
      <c r="C518" s="96"/>
      <c r="D518" s="14"/>
      <c r="E518" s="71"/>
      <c r="F518" s="14"/>
      <c r="G518" s="14"/>
      <c r="H518" s="95"/>
      <c r="I518" s="96"/>
      <c r="J518" s="14"/>
      <c r="K518" s="71"/>
      <c r="L518" s="14"/>
      <c r="M518" s="14"/>
      <c r="N518" s="14"/>
    </row>
    <row r="519" spans="1:14" x14ac:dyDescent="0.2">
      <c r="A519" s="14"/>
      <c r="B519" s="95"/>
      <c r="C519" s="96"/>
      <c r="D519" s="14"/>
      <c r="E519" s="71"/>
      <c r="F519" s="14"/>
      <c r="G519" s="14"/>
      <c r="H519" s="95"/>
      <c r="I519" s="96"/>
      <c r="J519" s="14"/>
      <c r="K519" s="71"/>
      <c r="L519" s="14"/>
      <c r="M519" s="14"/>
      <c r="N519" s="14"/>
    </row>
    <row r="520" spans="1:14" ht="25" customHeight="1" x14ac:dyDescent="0.2">
      <c r="A520" s="14"/>
      <c r="B520" s="214" t="str">
        <f>B217</f>
        <v>Purification (PUR)</v>
      </c>
      <c r="C520" s="214"/>
      <c r="D520" s="214"/>
      <c r="E520" s="214"/>
      <c r="F520" s="214"/>
      <c r="G520" s="214"/>
      <c r="H520" s="214"/>
      <c r="I520" s="214"/>
      <c r="J520" s="214"/>
      <c r="K520" s="214"/>
      <c r="L520" s="214"/>
      <c r="M520" s="214"/>
      <c r="N520" s="14"/>
    </row>
    <row r="521" spans="1:14" ht="25" customHeight="1" x14ac:dyDescent="0.2">
      <c r="A521" s="14"/>
      <c r="B521" s="214" t="str">
        <f>B221</f>
        <v>Output from purification (PUR)</v>
      </c>
      <c r="C521" s="214"/>
      <c r="D521" s="214"/>
      <c r="E521" s="214"/>
      <c r="F521" s="214"/>
      <c r="G521" s="214"/>
      <c r="H521" s="214"/>
      <c r="I521" s="214"/>
      <c r="J521" s="214"/>
      <c r="K521" s="214"/>
      <c r="L521" s="214"/>
      <c r="M521" s="214"/>
      <c r="N521" s="14"/>
    </row>
    <row r="522" spans="1:14" ht="25" customHeight="1" x14ac:dyDescent="0.2">
      <c r="A522" s="14"/>
      <c r="B522" s="214" t="str">
        <f>B222</f>
        <v>Purified oil</v>
      </c>
      <c r="C522" s="214"/>
      <c r="D522" s="214"/>
      <c r="E522" s="214"/>
      <c r="F522" s="214"/>
      <c r="G522" s="223"/>
      <c r="H522" s="214" t="str">
        <f>H222</f>
        <v>Heavy vacuum residues (HVR)</v>
      </c>
      <c r="I522" s="214"/>
      <c r="J522" s="214"/>
      <c r="K522" s="214"/>
      <c r="L522" s="214"/>
      <c r="M522" s="214"/>
      <c r="N522" s="14"/>
    </row>
    <row r="523" spans="1:14" x14ac:dyDescent="0.2">
      <c r="A523" s="14"/>
      <c r="B523" s="2" t="s">
        <v>21</v>
      </c>
      <c r="C523" s="3" t="s">
        <v>20</v>
      </c>
      <c r="D523" s="2" t="s">
        <v>99</v>
      </c>
      <c r="E523" s="2" t="s">
        <v>3</v>
      </c>
      <c r="F523" s="2" t="s">
        <v>4</v>
      </c>
      <c r="G523" s="4" t="s">
        <v>43</v>
      </c>
      <c r="H523" s="2" t="s">
        <v>21</v>
      </c>
      <c r="I523" s="3" t="s">
        <v>20</v>
      </c>
      <c r="J523" s="2" t="str">
        <f>D523</f>
        <v>Name</v>
      </c>
      <c r="K523" s="2" t="s">
        <v>3</v>
      </c>
      <c r="L523" s="2" t="s">
        <v>4</v>
      </c>
      <c r="M523" s="2" t="s">
        <v>43</v>
      </c>
      <c r="N523" s="14"/>
    </row>
    <row r="524" spans="1:14" x14ac:dyDescent="0.2">
      <c r="A524" s="14"/>
      <c r="B524" s="220" t="s">
        <v>14</v>
      </c>
      <c r="C524" s="6" t="str">
        <f t="shared" ref="C524:C538" si="83">C495</f>
        <v>PET</v>
      </c>
      <c r="D524" t="s">
        <v>1818</v>
      </c>
      <c r="E524" s="33">
        <f>$C$388*E224</f>
        <v>125.63350248959999</v>
      </c>
      <c r="F524" t="s">
        <v>96</v>
      </c>
      <c r="G524" s="32" t="str">
        <f>$B$388&amp;" * "&amp;D224</f>
        <v>bottle_carbon * bottle_PET_PUR_POLY_mass_pyrolysis</v>
      </c>
      <c r="H524" s="220" t="s">
        <v>14</v>
      </c>
      <c r="I524" s="6" t="str">
        <f>C524</f>
        <v>PET</v>
      </c>
      <c r="J524" t="s">
        <v>2153</v>
      </c>
      <c r="K524" s="33">
        <f>$C$388*K224</f>
        <v>0</v>
      </c>
      <c r="L524" t="s">
        <v>96</v>
      </c>
      <c r="M524" t="str">
        <f>D495&amp;" - "&amp;D524</f>
        <v>bottle_PET_PYRO_PUR_carbon_pyrolysis - bottle_PET_PUR_POLY_carbon_pyrolysis</v>
      </c>
      <c r="N524" s="14" t="s">
        <v>1005</v>
      </c>
    </row>
    <row r="525" spans="1:14" x14ac:dyDescent="0.2">
      <c r="A525" s="14"/>
      <c r="B525" s="220"/>
      <c r="C525" s="6" t="str">
        <f t="shared" si="83"/>
        <v>PE</v>
      </c>
      <c r="D525" t="s">
        <v>1819</v>
      </c>
      <c r="E525" s="33">
        <f>$C$388*E225</f>
        <v>30.512554126387201</v>
      </c>
      <c r="F525" t="s">
        <v>96</v>
      </c>
      <c r="G525" s="32" t="str">
        <f>$B$388&amp;" * "&amp;D225</f>
        <v>bottle_carbon * bottle_PE_PUR_POLY_mass_pyrolysis</v>
      </c>
      <c r="H525" s="220"/>
      <c r="I525" s="6" t="str">
        <f t="shared" ref="I525:I538" si="84">C525</f>
        <v>PE</v>
      </c>
      <c r="J525" t="s">
        <v>2154</v>
      </c>
      <c r="K525" s="33">
        <f>$C$388*K225</f>
        <v>0.62270518625280002</v>
      </c>
      <c r="L525" t="s">
        <v>96</v>
      </c>
      <c r="M525" t="str">
        <f t="shared" ref="M525:M538" si="85">D496&amp;" - "&amp;D525</f>
        <v>bottle_PE_PYRO_PUR_carbon_pyrolysis - bottle_PE_PUR_POLY_carbon_pyrolysis</v>
      </c>
      <c r="N525" s="14" t="s">
        <v>1005</v>
      </c>
    </row>
    <row r="526" spans="1:14" x14ac:dyDescent="0.2">
      <c r="A526" s="14"/>
      <c r="B526" s="220"/>
      <c r="C526" s="6" t="str">
        <f t="shared" si="83"/>
        <v>PP</v>
      </c>
      <c r="D526" t="s">
        <v>1820</v>
      </c>
      <c r="E526" s="33">
        <f>$C$388*E226</f>
        <v>0</v>
      </c>
      <c r="F526" t="s">
        <v>96</v>
      </c>
      <c r="G526" s="32" t="str">
        <f>$B$388&amp;" * "&amp;D226</f>
        <v>bottle_carbon * bottle_PP_PUR_POLY_mass_pyrolysis</v>
      </c>
      <c r="H526" s="220"/>
      <c r="I526" s="6" t="str">
        <f t="shared" si="84"/>
        <v>PP</v>
      </c>
      <c r="J526" t="s">
        <v>2155</v>
      </c>
      <c r="K526" s="33">
        <f>$C$388*K226</f>
        <v>0</v>
      </c>
      <c r="L526" t="s">
        <v>96</v>
      </c>
      <c r="M526" t="str">
        <f t="shared" si="85"/>
        <v>bottle_PP_PYRO_PUR_carbon_pyrolysis - bottle_PP_PUR_POLY_carbon_pyrolysis</v>
      </c>
      <c r="N526" s="14" t="s">
        <v>1005</v>
      </c>
    </row>
    <row r="527" spans="1:14" x14ac:dyDescent="0.2">
      <c r="A527" s="14"/>
      <c r="B527" s="220"/>
      <c r="C527" s="6" t="str">
        <f t="shared" si="83"/>
        <v>PS</v>
      </c>
      <c r="D527" t="s">
        <v>1821</v>
      </c>
      <c r="E527" s="33">
        <f>$C$388*E227</f>
        <v>0</v>
      </c>
      <c r="F527" t="s">
        <v>96</v>
      </c>
      <c r="G527" s="32" t="str">
        <f>$B$388&amp;" * "&amp;D227</f>
        <v>bottle_carbon * bottle_PS_PUR_POLY_mass_pyrolysis</v>
      </c>
      <c r="H527" s="220"/>
      <c r="I527" s="6" t="str">
        <f t="shared" si="84"/>
        <v>PS</v>
      </c>
      <c r="J527" t="s">
        <v>2156</v>
      </c>
      <c r="K527" s="33">
        <f>$C$388*K227</f>
        <v>0</v>
      </c>
      <c r="L527" t="s">
        <v>96</v>
      </c>
      <c r="M527" t="str">
        <f t="shared" si="85"/>
        <v>bottle_PS_PYRO_PUR_carbon_pyrolysis - bottle_PS_PUR_POLY_carbon_pyrolysis</v>
      </c>
      <c r="N527" s="14" t="s">
        <v>1005</v>
      </c>
    </row>
    <row r="528" spans="1:14" x14ac:dyDescent="0.2">
      <c r="A528" s="14"/>
      <c r="B528" s="220"/>
      <c r="C528" s="6" t="str">
        <f t="shared" si="83"/>
        <v>Other</v>
      </c>
      <c r="D528" t="s">
        <v>1822</v>
      </c>
      <c r="E528" s="33">
        <f>$C$388*E228</f>
        <v>0</v>
      </c>
      <c r="F528" t="s">
        <v>96</v>
      </c>
      <c r="G528" s="32" t="str">
        <f>$B$388&amp;" * "&amp;D228</f>
        <v>bottle_carbon * bottle_Oth_PUR_POLY_mass_pyrolysis</v>
      </c>
      <c r="H528" s="220"/>
      <c r="I528" s="6" t="str">
        <f t="shared" si="84"/>
        <v>Other</v>
      </c>
      <c r="J528" t="s">
        <v>2157</v>
      </c>
      <c r="K528" s="33">
        <f>$C$388*K228</f>
        <v>0</v>
      </c>
      <c r="L528" t="s">
        <v>96</v>
      </c>
      <c r="M528" t="str">
        <f t="shared" si="85"/>
        <v>bottle_Oth_PYRO_PUR_carbon_pyrolysis - bottle_Oth_PUR_POLY_carbon_pyrolysis</v>
      </c>
      <c r="N528" s="14" t="s">
        <v>1005</v>
      </c>
    </row>
    <row r="529" spans="1:14" x14ac:dyDescent="0.2">
      <c r="A529" s="14"/>
      <c r="B529" s="220" t="s">
        <v>15</v>
      </c>
      <c r="C529" s="6" t="str">
        <f t="shared" si="83"/>
        <v>PET</v>
      </c>
      <c r="D529" t="s">
        <v>1823</v>
      </c>
      <c r="E529" s="33">
        <f>$C$389*E229</f>
        <v>24.4622191968</v>
      </c>
      <c r="F529" t="s">
        <v>96</v>
      </c>
      <c r="G529" s="32" t="str">
        <f>$B$389&amp;" * "&amp;D229</f>
        <v>rigid_carbon * rigid_PET_PUR_POLY_mass_pyrolysis</v>
      </c>
      <c r="H529" s="220" t="s">
        <v>15</v>
      </c>
      <c r="I529" s="6" t="str">
        <f t="shared" si="84"/>
        <v>PET</v>
      </c>
      <c r="J529" t="s">
        <v>2158</v>
      </c>
      <c r="K529" s="33">
        <f>$C$389*K229</f>
        <v>0</v>
      </c>
      <c r="L529" t="s">
        <v>96</v>
      </c>
      <c r="M529" t="str">
        <f t="shared" si="85"/>
        <v>rigid_PET_PYRO_PUR_carbon_pyrolysis - rigid_PET_PUR_POLY_carbon_pyrolysis</v>
      </c>
      <c r="N529" s="14" t="s">
        <v>1005</v>
      </c>
    </row>
    <row r="530" spans="1:14" x14ac:dyDescent="0.2">
      <c r="A530" s="14"/>
      <c r="B530" s="220"/>
      <c r="C530" s="6" t="str">
        <f t="shared" si="83"/>
        <v>PE</v>
      </c>
      <c r="D530" t="s">
        <v>1824</v>
      </c>
      <c r="E530" s="33">
        <f>$C$389*E230</f>
        <v>14.6406381892848</v>
      </c>
      <c r="F530" t="s">
        <v>96</v>
      </c>
      <c r="G530" s="32" t="str">
        <f>$B$389&amp;" * "&amp;D230</f>
        <v>rigid_carbon * rigid_PE_PUR_POLY_mass_pyrolysis</v>
      </c>
      <c r="H530" s="220"/>
      <c r="I530" s="6" t="str">
        <f t="shared" si="84"/>
        <v>PE</v>
      </c>
      <c r="J530" t="s">
        <v>2159</v>
      </c>
      <c r="K530" s="33">
        <f>$C$389*K230</f>
        <v>0.29878853447520004</v>
      </c>
      <c r="L530" t="s">
        <v>96</v>
      </c>
      <c r="M530" t="str">
        <f t="shared" si="85"/>
        <v>rigid_PE_PYRO_PUR_carbon_pyrolysis - rigid_PE_PUR_POLY_carbon_pyrolysis</v>
      </c>
      <c r="N530" s="14" t="s">
        <v>1005</v>
      </c>
    </row>
    <row r="531" spans="1:14" x14ac:dyDescent="0.2">
      <c r="A531" s="14"/>
      <c r="B531" s="220"/>
      <c r="C531" s="6" t="str">
        <f t="shared" si="83"/>
        <v>PP</v>
      </c>
      <c r="D531" t="s">
        <v>1825</v>
      </c>
      <c r="E531" s="33">
        <f>$C$389*E231</f>
        <v>32.836931886527999</v>
      </c>
      <c r="F531" t="s">
        <v>96</v>
      </c>
      <c r="G531" s="32" t="str">
        <f>$B$389&amp;" * "&amp;D231</f>
        <v>rigid_carbon * rigid_PP_PUR_POLY_mass_pyrolysis</v>
      </c>
      <c r="H531" s="220"/>
      <c r="I531" s="6" t="str">
        <f t="shared" si="84"/>
        <v>PP</v>
      </c>
      <c r="J531" t="s">
        <v>2160</v>
      </c>
      <c r="K531" s="33">
        <f>$C$389*K231</f>
        <v>0.67014146707200006</v>
      </c>
      <c r="L531" t="s">
        <v>96</v>
      </c>
      <c r="M531" t="str">
        <f t="shared" si="85"/>
        <v>rigid_PP_PYRO_PUR_carbon_pyrolysis - rigid_PP_PUR_POLY_carbon_pyrolysis</v>
      </c>
      <c r="N531" s="14" t="s">
        <v>1005</v>
      </c>
    </row>
    <row r="532" spans="1:14" x14ac:dyDescent="0.2">
      <c r="A532" s="14"/>
      <c r="B532" s="220"/>
      <c r="C532" s="6" t="str">
        <f t="shared" si="83"/>
        <v>PS</v>
      </c>
      <c r="D532" t="s">
        <v>1826</v>
      </c>
      <c r="E532" s="33">
        <f>$C$389*E232</f>
        <v>4.2992350238375998</v>
      </c>
      <c r="F532" t="s">
        <v>96</v>
      </c>
      <c r="G532" s="32" t="str">
        <f>$B$389&amp;" * "&amp;D232</f>
        <v>rigid_carbon * rigid_PS_PUR_POLY_mass_pyrolysis</v>
      </c>
      <c r="H532" s="220"/>
      <c r="I532" s="6" t="str">
        <f t="shared" si="84"/>
        <v>PS</v>
      </c>
      <c r="J532" t="s">
        <v>2161</v>
      </c>
      <c r="K532" s="33">
        <f>$C$389*K232</f>
        <v>8.7739490282399996E-2</v>
      </c>
      <c r="L532" t="s">
        <v>96</v>
      </c>
      <c r="M532" t="str">
        <f t="shared" si="85"/>
        <v>rigid_PS_PYRO_PUR_carbon_pyrolysis - rigid_PS_PUR_POLY_carbon_pyrolysis</v>
      </c>
      <c r="N532" s="14" t="s">
        <v>1005</v>
      </c>
    </row>
    <row r="533" spans="1:14" x14ac:dyDescent="0.2">
      <c r="A533" s="14"/>
      <c r="B533" s="220"/>
      <c r="C533" s="6" t="str">
        <f t="shared" si="83"/>
        <v>Other</v>
      </c>
      <c r="D533" t="s">
        <v>1827</v>
      </c>
      <c r="E533" s="33">
        <f>$C$389*E233</f>
        <v>21.496175119187992</v>
      </c>
      <c r="F533" t="s">
        <v>96</v>
      </c>
      <c r="G533" s="32" t="str">
        <f>$B$389&amp;" * "&amp;D233</f>
        <v>rigid_carbon * rigid_Oth_PUR_POLY_mass_pyrolysis</v>
      </c>
      <c r="H533" s="220"/>
      <c r="I533" s="6" t="str">
        <f t="shared" si="84"/>
        <v>Other</v>
      </c>
      <c r="J533" t="s">
        <v>2162</v>
      </c>
      <c r="K533" s="33">
        <f>$C$389*K233</f>
        <v>0.43869745141199989</v>
      </c>
      <c r="L533" t="s">
        <v>96</v>
      </c>
      <c r="M533" t="str">
        <f t="shared" si="85"/>
        <v>rigid_Oth_PYRO_PUR_carbon_pyrolysis - rigid_Oth_PUR_POLY_carbon_pyrolysis</v>
      </c>
      <c r="N533" s="14" t="s">
        <v>1005</v>
      </c>
    </row>
    <row r="534" spans="1:14" x14ac:dyDescent="0.2">
      <c r="A534" s="14"/>
      <c r="B534" s="220" t="s">
        <v>42</v>
      </c>
      <c r="C534" s="6" t="str">
        <f t="shared" si="83"/>
        <v>PET</v>
      </c>
      <c r="D534" t="s">
        <v>1828</v>
      </c>
      <c r="E534" s="33">
        <f>$C$390*E234</f>
        <v>0</v>
      </c>
      <c r="F534" t="s">
        <v>96</v>
      </c>
      <c r="G534" s="32" t="str">
        <f>$B$390&amp;" * "&amp;D234</f>
        <v>soft_carbon * soft_PET_PUR_POLY_mass_pyrolysis</v>
      </c>
      <c r="H534" s="220" t="s">
        <v>42</v>
      </c>
      <c r="I534" s="6" t="str">
        <f t="shared" si="84"/>
        <v>PET</v>
      </c>
      <c r="J534" t="s">
        <v>2163</v>
      </c>
      <c r="K534" s="33">
        <f>$C$390*K234</f>
        <v>0</v>
      </c>
      <c r="L534" t="s">
        <v>96</v>
      </c>
      <c r="M534" t="str">
        <f t="shared" si="85"/>
        <v>soft_PET_PYRO_PUR_carbon_pyrolysis - soft_PET_PUR_POLY_carbon_pyrolysis</v>
      </c>
      <c r="N534" s="14" t="s">
        <v>1005</v>
      </c>
    </row>
    <row r="535" spans="1:14" x14ac:dyDescent="0.2">
      <c r="A535" s="14"/>
      <c r="B535" s="220"/>
      <c r="C535" s="6" t="str">
        <f t="shared" si="83"/>
        <v>PE</v>
      </c>
      <c r="D535" t="s">
        <v>1829</v>
      </c>
      <c r="E535" s="33">
        <f>$C$390*E235</f>
        <v>119.57402641153537</v>
      </c>
      <c r="F535" t="s">
        <v>96</v>
      </c>
      <c r="G535" s="32" t="str">
        <f>$B$390&amp;" * "&amp;D235</f>
        <v>soft_carbon * soft_PE_PUR_POLY_mass_pyrolysis</v>
      </c>
      <c r="H535" s="220"/>
      <c r="I535" s="6" t="str">
        <f t="shared" si="84"/>
        <v>PE</v>
      </c>
      <c r="J535" t="s">
        <v>1877</v>
      </c>
      <c r="K535" s="33">
        <f>$C$390*K235</f>
        <v>2.4402862532966405</v>
      </c>
      <c r="L535" t="s">
        <v>96</v>
      </c>
      <c r="M535" t="str">
        <f t="shared" si="85"/>
        <v>soft_PE_PYRO_PUR_carbon_pyrolysis - soft_PE_PUR_POLY_carbon_pyrolysis</v>
      </c>
      <c r="N535" s="14" t="s">
        <v>1005</v>
      </c>
    </row>
    <row r="536" spans="1:14" x14ac:dyDescent="0.2">
      <c r="A536" s="14"/>
      <c r="B536" s="220"/>
      <c r="C536" s="6" t="str">
        <f t="shared" si="83"/>
        <v>PP</v>
      </c>
      <c r="D536" t="s">
        <v>1830</v>
      </c>
      <c r="E536" s="33">
        <f>$C$390*E236</f>
        <v>0</v>
      </c>
      <c r="F536" t="s">
        <v>96</v>
      </c>
      <c r="G536" s="32" t="str">
        <f>$B$390&amp;" * "&amp;D236</f>
        <v>soft_carbon * soft_PP_PUR_POLY_mass_pyrolysis</v>
      </c>
      <c r="H536" s="220"/>
      <c r="I536" s="6" t="str">
        <f t="shared" si="84"/>
        <v>PP</v>
      </c>
      <c r="J536" t="s">
        <v>2164</v>
      </c>
      <c r="K536" s="33">
        <f>$C$390*K236</f>
        <v>0</v>
      </c>
      <c r="L536" t="s">
        <v>96</v>
      </c>
      <c r="M536" t="str">
        <f t="shared" si="85"/>
        <v>soft_PP_PYRO_PUR_carbon_pyrolysis - soft_PP_PUR_POLY_carbon_pyrolysis</v>
      </c>
      <c r="N536" s="14" t="s">
        <v>1005</v>
      </c>
    </row>
    <row r="537" spans="1:14" x14ac:dyDescent="0.2">
      <c r="A537" s="14"/>
      <c r="B537" s="220"/>
      <c r="C537" s="6" t="str">
        <f t="shared" si="83"/>
        <v>PS</v>
      </c>
      <c r="D537" t="s">
        <v>1831</v>
      </c>
      <c r="E537" s="33">
        <f>$C$390*E237</f>
        <v>0</v>
      </c>
      <c r="F537" t="s">
        <v>96</v>
      </c>
      <c r="G537" s="32" t="str">
        <f>$B$390&amp;" * "&amp;D237</f>
        <v>soft_carbon * soft_PS_PUR_POLY_mass_pyrolysis</v>
      </c>
      <c r="H537" s="220"/>
      <c r="I537" s="6" t="str">
        <f t="shared" si="84"/>
        <v>PS</v>
      </c>
      <c r="J537" t="s">
        <v>2165</v>
      </c>
      <c r="K537" s="33">
        <f>$C$390*K237</f>
        <v>0</v>
      </c>
      <c r="L537" t="s">
        <v>96</v>
      </c>
      <c r="M537" t="str">
        <f t="shared" si="85"/>
        <v>soft_PS_PYRO_PUR_carbon_pyrolysis - soft_PS_PUR_POLY_carbon_pyrolysis</v>
      </c>
      <c r="N537" s="14" t="s">
        <v>1005</v>
      </c>
    </row>
    <row r="538" spans="1:14" x14ac:dyDescent="0.2">
      <c r="A538" s="14"/>
      <c r="B538" s="227"/>
      <c r="C538" s="60" t="str">
        <f t="shared" si="83"/>
        <v>Other</v>
      </c>
      <c r="D538" s="44" t="s">
        <v>1832</v>
      </c>
      <c r="E538" s="62">
        <f>$C$390*E238</f>
        <v>39.154480183103054</v>
      </c>
      <c r="F538" s="44" t="s">
        <v>96</v>
      </c>
      <c r="G538" s="32" t="str">
        <f>$B$390&amp;" * "&amp;D238</f>
        <v>soft_carbon * soft_Oth_PUR_POLY_mass_pyrolysis</v>
      </c>
      <c r="H538" s="220"/>
      <c r="I538" s="6" t="str">
        <f t="shared" si="84"/>
        <v>Other</v>
      </c>
      <c r="J538" t="s">
        <v>2166</v>
      </c>
      <c r="K538" s="33">
        <f>$C$390*K238</f>
        <v>0.79907102414496034</v>
      </c>
      <c r="L538" t="s">
        <v>96</v>
      </c>
      <c r="M538" t="str">
        <f t="shared" si="85"/>
        <v>soft_Oth_PYRO_PUR_carbon_pyrolysis - soft_Oth_PUR_POLY_carbon_pyrolysis</v>
      </c>
      <c r="N538" s="14" t="s">
        <v>1005</v>
      </c>
    </row>
    <row r="539" spans="1:14" ht="25" customHeight="1" x14ac:dyDescent="0.2">
      <c r="A539" s="14"/>
      <c r="B539" s="214" t="s">
        <v>45</v>
      </c>
      <c r="C539" s="214"/>
      <c r="D539" s="214"/>
      <c r="E539" s="214"/>
      <c r="F539" s="214"/>
      <c r="G539" s="214"/>
      <c r="H539" s="214"/>
      <c r="I539" s="214"/>
      <c r="J539" s="214"/>
      <c r="K539" s="214"/>
      <c r="L539" s="214"/>
      <c r="M539" s="214"/>
      <c r="N539" s="14"/>
    </row>
    <row r="540" spans="1:14" x14ac:dyDescent="0.2">
      <c r="A540" s="14"/>
      <c r="B540" s="53" t="s">
        <v>46</v>
      </c>
      <c r="C540" s="10" t="s">
        <v>3</v>
      </c>
      <c r="D540" s="10" t="s">
        <v>4</v>
      </c>
      <c r="E540" s="53" t="s">
        <v>7</v>
      </c>
      <c r="F540" s="10"/>
      <c r="G540" s="40"/>
      <c r="H540" s="53" t="s">
        <v>49</v>
      </c>
      <c r="I540" s="53" t="s">
        <v>3</v>
      </c>
      <c r="J540" s="53" t="s">
        <v>4</v>
      </c>
      <c r="K540" s="53" t="s">
        <v>7</v>
      </c>
      <c r="L540" s="10"/>
      <c r="M540" s="10"/>
      <c r="N540" s="14"/>
    </row>
    <row r="541" spans="1:14" x14ac:dyDescent="0.2">
      <c r="A541" s="14"/>
      <c r="B541" t="s">
        <v>1833</v>
      </c>
      <c r="C541" s="33">
        <f>SUM(E524:E528)</f>
        <v>156.14605661598719</v>
      </c>
      <c r="D541" t="s">
        <v>96</v>
      </c>
      <c r="E541" t="s">
        <v>1916</v>
      </c>
      <c r="F541" s="2"/>
      <c r="G541" s="4"/>
      <c r="H541" t="s">
        <v>1878</v>
      </c>
      <c r="I541" s="33">
        <f>SUM(K524:K528)</f>
        <v>0.62270518625280002</v>
      </c>
      <c r="J541" t="s">
        <v>96</v>
      </c>
      <c r="K541" t="s">
        <v>1920</v>
      </c>
      <c r="L541" s="2"/>
      <c r="M541" s="2"/>
      <c r="N541" s="14"/>
    </row>
    <row r="542" spans="1:14" x14ac:dyDescent="0.2">
      <c r="A542" s="14"/>
      <c r="B542" t="s">
        <v>1835</v>
      </c>
      <c r="C542" s="33">
        <f>SUM(E529:E533)</f>
        <v>97.735199415638391</v>
      </c>
      <c r="D542" t="s">
        <v>96</v>
      </c>
      <c r="E542" t="s">
        <v>1917</v>
      </c>
      <c r="F542" s="2"/>
      <c r="G542" s="4"/>
      <c r="H542" t="s">
        <v>1879</v>
      </c>
      <c r="I542" s="33">
        <f>SUM(K529:K533)</f>
        <v>1.4953669432415999</v>
      </c>
      <c r="J542" t="s">
        <v>96</v>
      </c>
      <c r="K542" t="s">
        <v>1921</v>
      </c>
      <c r="L542" s="2"/>
      <c r="M542" s="2"/>
      <c r="N542" s="14"/>
    </row>
    <row r="543" spans="1:14" ht="16" thickBot="1" x14ac:dyDescent="0.25">
      <c r="A543" s="14"/>
      <c r="B543" s="8" t="s">
        <v>1836</v>
      </c>
      <c r="C543" s="34">
        <f>SUM(E534:E538)</f>
        <v>158.72850659463842</v>
      </c>
      <c r="D543" s="8" t="s">
        <v>96</v>
      </c>
      <c r="E543" s="8" t="s">
        <v>1918</v>
      </c>
      <c r="F543" s="37"/>
      <c r="G543" s="38"/>
      <c r="H543" s="8" t="s">
        <v>1880</v>
      </c>
      <c r="I543" s="34">
        <f>SUM(K534:K538)</f>
        <v>3.2393572774416008</v>
      </c>
      <c r="J543" s="8" t="s">
        <v>96</v>
      </c>
      <c r="K543" s="8" t="s">
        <v>1922</v>
      </c>
      <c r="L543" s="37"/>
      <c r="M543" s="37"/>
      <c r="N543" s="14"/>
    </row>
    <row r="544" spans="1:14" ht="16" thickTop="1" x14ac:dyDescent="0.2">
      <c r="A544" s="14"/>
      <c r="B544" s="44" t="s">
        <v>1834</v>
      </c>
      <c r="C544" s="62">
        <f>SUM(C541:C543)</f>
        <v>412.609762626264</v>
      </c>
      <c r="D544" s="44" t="s">
        <v>96</v>
      </c>
      <c r="E544" s="44" t="s">
        <v>1919</v>
      </c>
      <c r="F544" s="56"/>
      <c r="G544" s="57"/>
      <c r="H544" s="44" t="s">
        <v>1876</v>
      </c>
      <c r="I544" s="62">
        <f>SUM(I541:I543)</f>
        <v>5.3574294069360011</v>
      </c>
      <c r="J544" s="44" t="s">
        <v>96</v>
      </c>
      <c r="K544" s="44" t="s">
        <v>1923</v>
      </c>
      <c r="L544" s="56"/>
      <c r="M544" s="56"/>
      <c r="N544" s="14"/>
    </row>
    <row r="545" spans="1:14" x14ac:dyDescent="0.2">
      <c r="A545" s="14"/>
      <c r="B545" s="125" t="s">
        <v>2704</v>
      </c>
      <c r="C545" s="125" t="str">
        <f>IF(C544+I544=C515,"true")</f>
        <v>true</v>
      </c>
      <c r="D545" s="125"/>
      <c r="E545" s="125"/>
      <c r="F545" s="125"/>
      <c r="G545" s="125"/>
      <c r="H545" s="125"/>
      <c r="I545" s="125"/>
      <c r="J545" s="125"/>
      <c r="K545" s="125"/>
      <c r="L545" s="125"/>
      <c r="M545" s="125"/>
      <c r="N545" s="14"/>
    </row>
    <row r="546" spans="1:14" x14ac:dyDescent="0.2">
      <c r="A546" s="14"/>
      <c r="B546" s="15"/>
      <c r="C546" s="15"/>
      <c r="D546" s="15"/>
      <c r="E546" s="15"/>
      <c r="F546" s="15"/>
      <c r="G546" s="15"/>
      <c r="H546" s="15"/>
      <c r="I546" s="15"/>
      <c r="J546" s="15"/>
      <c r="K546" s="15"/>
      <c r="L546" s="15"/>
      <c r="M546" s="15"/>
      <c r="N546" s="14"/>
    </row>
    <row r="547" spans="1:14" x14ac:dyDescent="0.2">
      <c r="A547" s="14"/>
      <c r="B547" s="15"/>
      <c r="C547" s="15"/>
      <c r="D547" s="15"/>
      <c r="E547" s="15"/>
      <c r="F547" s="15"/>
      <c r="G547" s="15"/>
      <c r="H547" s="15"/>
      <c r="I547" s="15"/>
      <c r="J547" s="15"/>
      <c r="K547" s="15"/>
      <c r="L547" s="15"/>
      <c r="M547" s="15"/>
      <c r="N547" s="14"/>
    </row>
    <row r="548" spans="1:14" x14ac:dyDescent="0.2">
      <c r="A548" s="14"/>
      <c r="B548" s="15"/>
      <c r="C548" s="15"/>
      <c r="D548" s="15"/>
      <c r="E548" s="15"/>
      <c r="F548" s="15"/>
      <c r="G548" s="15"/>
      <c r="H548" s="15"/>
      <c r="I548" s="15"/>
      <c r="J548" s="15"/>
      <c r="K548" s="15"/>
      <c r="L548" s="15"/>
      <c r="M548" s="15"/>
      <c r="N548" s="14"/>
    </row>
    <row r="549" spans="1:14" ht="25" customHeight="1" x14ac:dyDescent="0.2">
      <c r="A549" s="14"/>
      <c r="B549" s="214" t="str">
        <f>B249</f>
        <v>Cracking and polymerization (POLY)</v>
      </c>
      <c r="C549" s="214"/>
      <c r="D549" s="214"/>
      <c r="E549" s="214"/>
      <c r="F549" s="214"/>
      <c r="G549" s="214"/>
      <c r="H549" s="214"/>
      <c r="I549" s="214"/>
      <c r="J549" s="214"/>
      <c r="K549" s="214"/>
      <c r="L549" s="214"/>
      <c r="M549" s="214"/>
      <c r="N549" s="14"/>
    </row>
    <row r="550" spans="1:14" ht="25" customHeight="1" x14ac:dyDescent="0.2">
      <c r="A550" s="14"/>
      <c r="B550" s="214" t="str">
        <f>B252</f>
        <v>Output from cracking and polymerization</v>
      </c>
      <c r="C550" s="214"/>
      <c r="D550" s="214"/>
      <c r="E550" s="214"/>
      <c r="F550" s="214"/>
      <c r="G550" s="214"/>
      <c r="H550" s="214"/>
      <c r="I550" s="214"/>
      <c r="J550" s="214"/>
      <c r="K550" s="214"/>
      <c r="L550" s="214"/>
      <c r="M550" s="214"/>
      <c r="N550" s="14"/>
    </row>
    <row r="551" spans="1:14" ht="25" customHeight="1" x14ac:dyDescent="0.2">
      <c r="A551" s="14"/>
      <c r="B551" s="214" t="str">
        <f>B253</f>
        <v>New plastic (NEW)</v>
      </c>
      <c r="C551" s="214"/>
      <c r="D551" s="214"/>
      <c r="E551" s="214"/>
      <c r="F551" s="214"/>
      <c r="G551" s="223"/>
      <c r="H551" s="214" t="str">
        <f>H253</f>
        <v>Loss</v>
      </c>
      <c r="I551" s="214"/>
      <c r="J551" s="214"/>
      <c r="K551" s="214"/>
      <c r="L551" s="214"/>
      <c r="M551" s="214"/>
      <c r="N551" s="14"/>
    </row>
    <row r="552" spans="1:14" x14ac:dyDescent="0.2">
      <c r="A552" s="14"/>
      <c r="B552" s="2" t="s">
        <v>21</v>
      </c>
      <c r="C552" s="3" t="s">
        <v>20</v>
      </c>
      <c r="D552" s="2" t="s">
        <v>99</v>
      </c>
      <c r="E552" s="2" t="s">
        <v>3</v>
      </c>
      <c r="F552" s="2" t="s">
        <v>4</v>
      </c>
      <c r="G552" s="4" t="s">
        <v>43</v>
      </c>
      <c r="H552" s="2" t="s">
        <v>21</v>
      </c>
      <c r="I552" s="3" t="s">
        <v>20</v>
      </c>
      <c r="J552" s="2" t="str">
        <f>D552</f>
        <v>Name</v>
      </c>
      <c r="K552" s="2" t="s">
        <v>3</v>
      </c>
      <c r="L552" s="2" t="s">
        <v>4</v>
      </c>
      <c r="M552" s="2" t="s">
        <v>43</v>
      </c>
      <c r="N552" s="14" t="s">
        <v>1005</v>
      </c>
    </row>
    <row r="553" spans="1:14" x14ac:dyDescent="0.2">
      <c r="A553" s="14"/>
      <c r="B553" s="220" t="s">
        <v>14</v>
      </c>
      <c r="C553" s="6" t="str">
        <f t="shared" ref="C553:C567" si="86">C524</f>
        <v>PET</v>
      </c>
      <c r="D553" t="s">
        <v>1566</v>
      </c>
      <c r="E553" s="33">
        <f>$C$388*E255</f>
        <v>125.63350248959999</v>
      </c>
      <c r="F553" t="s">
        <v>96</v>
      </c>
      <c r="G553" s="32" t="str">
        <f>$B$388&amp;" * "&amp;D255</f>
        <v>bottle_carbon * bottle_PET_POLY_NEW_mass_pyrolysis</v>
      </c>
      <c r="H553" s="220" t="s">
        <v>14</v>
      </c>
      <c r="I553" s="6" t="str">
        <f>C553</f>
        <v>PET</v>
      </c>
      <c r="J553" t="s">
        <v>1881</v>
      </c>
      <c r="K553" s="33">
        <f t="shared" ref="K553:K567" si="87">E524-E553</f>
        <v>0</v>
      </c>
      <c r="L553" t="s">
        <v>96</v>
      </c>
      <c r="M553" t="str">
        <f>D524&amp;" - "&amp;D553</f>
        <v>bottle_PET_PUR_POLY_carbon_pyrolysis - bottle_PET_POLY_NEW_carbon_pyrolysis</v>
      </c>
      <c r="N553" s="14" t="s">
        <v>1005</v>
      </c>
    </row>
    <row r="554" spans="1:14" x14ac:dyDescent="0.2">
      <c r="A554" s="14"/>
      <c r="B554" s="220"/>
      <c r="C554" s="6" t="str">
        <f t="shared" si="86"/>
        <v>PE</v>
      </c>
      <c r="D554" t="s">
        <v>1567</v>
      </c>
      <c r="E554" s="33">
        <f>$C$388*E256</f>
        <v>29.902303043859458</v>
      </c>
      <c r="F554" t="s">
        <v>96</v>
      </c>
      <c r="G554" s="32" t="str">
        <f>$B$388&amp;" * "&amp;D256</f>
        <v>bottle_carbon * bottle_PE_POLY_NEW_mass_pyrolysis</v>
      </c>
      <c r="H554" s="220"/>
      <c r="I554" s="6" t="str">
        <f t="shared" ref="I554:I567" si="88">C554</f>
        <v>PE</v>
      </c>
      <c r="J554" t="s">
        <v>1882</v>
      </c>
      <c r="K554" s="33">
        <f t="shared" si="87"/>
        <v>0.61025108252774274</v>
      </c>
      <c r="L554" t="s">
        <v>96</v>
      </c>
      <c r="M554" t="str">
        <f t="shared" ref="M554:M567" si="89">D525&amp;" - "&amp;D554</f>
        <v>bottle_PE_PUR_POLY_carbon_pyrolysis - bottle_PE_POLY_NEW_carbon_pyrolysis</v>
      </c>
      <c r="N554" s="14" t="s">
        <v>1005</v>
      </c>
    </row>
    <row r="555" spans="1:14" x14ac:dyDescent="0.2">
      <c r="A555" s="14"/>
      <c r="B555" s="220"/>
      <c r="C555" s="6" t="str">
        <f t="shared" si="86"/>
        <v>PP</v>
      </c>
      <c r="D555" t="s">
        <v>1568</v>
      </c>
      <c r="E555" s="33">
        <f>$C$388*E257</f>
        <v>0</v>
      </c>
      <c r="F555" t="s">
        <v>96</v>
      </c>
      <c r="G555" s="32" t="str">
        <f>$B$388&amp;" * "&amp;D257</f>
        <v>bottle_carbon * bottle_PP_POLY_NEW_mass_pyrolysis</v>
      </c>
      <c r="H555" s="220"/>
      <c r="I555" s="6" t="str">
        <f t="shared" si="88"/>
        <v>PP</v>
      </c>
      <c r="J555" t="s">
        <v>1883</v>
      </c>
      <c r="K555" s="33">
        <f t="shared" si="87"/>
        <v>0</v>
      </c>
      <c r="L555" t="s">
        <v>96</v>
      </c>
      <c r="M555" t="str">
        <f t="shared" si="89"/>
        <v>bottle_PP_PUR_POLY_carbon_pyrolysis - bottle_PP_POLY_NEW_carbon_pyrolysis</v>
      </c>
      <c r="N555" s="14" t="s">
        <v>1005</v>
      </c>
    </row>
    <row r="556" spans="1:14" x14ac:dyDescent="0.2">
      <c r="A556" s="14"/>
      <c r="B556" s="220"/>
      <c r="C556" s="6" t="str">
        <f t="shared" si="86"/>
        <v>PS</v>
      </c>
      <c r="D556" t="s">
        <v>1569</v>
      </c>
      <c r="E556" s="33">
        <f>$C$388*E258</f>
        <v>0</v>
      </c>
      <c r="F556" t="s">
        <v>96</v>
      </c>
      <c r="G556" s="32" t="str">
        <f>$B$388&amp;" * "&amp;D258</f>
        <v>bottle_carbon * bottle_PS_POLY_NEW_mass_pyrolysis</v>
      </c>
      <c r="H556" s="220"/>
      <c r="I556" s="6" t="str">
        <f t="shared" si="88"/>
        <v>PS</v>
      </c>
      <c r="J556" t="s">
        <v>1884</v>
      </c>
      <c r="K556" s="33">
        <f t="shared" si="87"/>
        <v>0</v>
      </c>
      <c r="L556" t="s">
        <v>96</v>
      </c>
      <c r="M556" t="str">
        <f t="shared" si="89"/>
        <v>bottle_PS_PUR_POLY_carbon_pyrolysis - bottle_PS_POLY_NEW_carbon_pyrolysis</v>
      </c>
      <c r="N556" s="14" t="s">
        <v>1005</v>
      </c>
    </row>
    <row r="557" spans="1:14" x14ac:dyDescent="0.2">
      <c r="A557" s="14"/>
      <c r="B557" s="220"/>
      <c r="C557" s="6" t="str">
        <f t="shared" si="86"/>
        <v>Other</v>
      </c>
      <c r="D557" t="s">
        <v>1570</v>
      </c>
      <c r="E557" s="33">
        <f>$C$388*E259</f>
        <v>0</v>
      </c>
      <c r="F557" t="s">
        <v>96</v>
      </c>
      <c r="G557" s="32" t="str">
        <f>$B$388&amp;" * "&amp;D259</f>
        <v>bottle_carbon * bottle_Oth_POLY_NEW_mass_pyrolysis</v>
      </c>
      <c r="H557" s="220"/>
      <c r="I557" s="6" t="str">
        <f t="shared" si="88"/>
        <v>Other</v>
      </c>
      <c r="J557" t="s">
        <v>1885</v>
      </c>
      <c r="K557" s="33">
        <f t="shared" si="87"/>
        <v>0</v>
      </c>
      <c r="L557" t="s">
        <v>96</v>
      </c>
      <c r="M557" t="str">
        <f t="shared" si="89"/>
        <v>bottle_Oth_PUR_POLY_carbon_pyrolysis - bottle_Oth_POLY_NEW_carbon_pyrolysis</v>
      </c>
      <c r="N557" s="14" t="s">
        <v>1005</v>
      </c>
    </row>
    <row r="558" spans="1:14" x14ac:dyDescent="0.2">
      <c r="A558" s="14"/>
      <c r="B558" s="220" t="s">
        <v>15</v>
      </c>
      <c r="C558" s="6" t="str">
        <f t="shared" si="86"/>
        <v>PET</v>
      </c>
      <c r="D558" t="s">
        <v>1571</v>
      </c>
      <c r="E558" s="33">
        <f>$C$389*E260</f>
        <v>24.4622191968</v>
      </c>
      <c r="F558" t="s">
        <v>96</v>
      </c>
      <c r="G558" s="32" t="str">
        <f>$B$389&amp;" * "&amp;D260</f>
        <v>rigid_carbon * rigid_PET_POLY_NEW_mass_pyrolysis</v>
      </c>
      <c r="H558" s="220" t="s">
        <v>15</v>
      </c>
      <c r="I558" s="6" t="str">
        <f t="shared" si="88"/>
        <v>PET</v>
      </c>
      <c r="J558" t="s">
        <v>1886</v>
      </c>
      <c r="K558" s="33">
        <f t="shared" si="87"/>
        <v>0</v>
      </c>
      <c r="L558" t="s">
        <v>96</v>
      </c>
      <c r="M558" t="str">
        <f t="shared" si="89"/>
        <v>rigid_PET_PUR_POLY_carbon_pyrolysis - rigid_PET_POLY_NEW_carbon_pyrolysis</v>
      </c>
      <c r="N558" s="14" t="s">
        <v>1005</v>
      </c>
    </row>
    <row r="559" spans="1:14" x14ac:dyDescent="0.2">
      <c r="A559" s="14"/>
      <c r="B559" s="220"/>
      <c r="C559" s="6" t="str">
        <f t="shared" si="86"/>
        <v>PE</v>
      </c>
      <c r="D559" t="s">
        <v>1572</v>
      </c>
      <c r="E559" s="33">
        <f>$C$389*E261</f>
        <v>14.347825425499105</v>
      </c>
      <c r="F559" t="s">
        <v>96</v>
      </c>
      <c r="G559" s="32" t="str">
        <f>$B$389&amp;" * "&amp;D261</f>
        <v>rigid_carbon * rigid_PE_POLY_NEW_mass_pyrolysis</v>
      </c>
      <c r="H559" s="220"/>
      <c r="I559" s="6" t="str">
        <f t="shared" si="88"/>
        <v>PE</v>
      </c>
      <c r="J559" t="s">
        <v>1887</v>
      </c>
      <c r="K559" s="33">
        <f t="shared" si="87"/>
        <v>0.29281276378569565</v>
      </c>
      <c r="L559" t="s">
        <v>96</v>
      </c>
      <c r="M559" t="str">
        <f t="shared" si="89"/>
        <v>rigid_PE_PUR_POLY_carbon_pyrolysis - rigid_PE_POLY_NEW_carbon_pyrolysis</v>
      </c>
      <c r="N559" s="14" t="s">
        <v>1005</v>
      </c>
    </row>
    <row r="560" spans="1:14" x14ac:dyDescent="0.2">
      <c r="A560" s="14"/>
      <c r="B560" s="220"/>
      <c r="C560" s="6" t="str">
        <f t="shared" si="86"/>
        <v>PP</v>
      </c>
      <c r="D560" t="s">
        <v>1573</v>
      </c>
      <c r="E560" s="33">
        <f>$C$389*E262</f>
        <v>32.180193248797437</v>
      </c>
      <c r="F560" t="s">
        <v>96</v>
      </c>
      <c r="G560" s="32" t="str">
        <f>$B$389&amp;" * "&amp;D262</f>
        <v>rigid_carbon * rigid_PP_POLY_NEW_mass_pyrolysis</v>
      </c>
      <c r="H560" s="220"/>
      <c r="I560" s="6" t="str">
        <f t="shared" si="88"/>
        <v>PP</v>
      </c>
      <c r="J560" t="s">
        <v>1888</v>
      </c>
      <c r="K560" s="33">
        <f t="shared" si="87"/>
        <v>0.6567386377305624</v>
      </c>
      <c r="L560" t="s">
        <v>96</v>
      </c>
      <c r="M560" t="str">
        <f t="shared" si="89"/>
        <v>rigid_PP_PUR_POLY_carbon_pyrolysis - rigid_PP_POLY_NEW_carbon_pyrolysis</v>
      </c>
      <c r="N560" s="14" t="s">
        <v>1005</v>
      </c>
    </row>
    <row r="561" spans="1:14" x14ac:dyDescent="0.2">
      <c r="A561" s="14"/>
      <c r="B561" s="220"/>
      <c r="C561" s="6" t="str">
        <f t="shared" si="86"/>
        <v>PS</v>
      </c>
      <c r="D561" t="s">
        <v>1574</v>
      </c>
      <c r="E561" s="33">
        <f>$C$389*E263</f>
        <v>4.2132503233608478</v>
      </c>
      <c r="F561" t="s">
        <v>96</v>
      </c>
      <c r="G561" s="32" t="str">
        <f>$B$389&amp;" * "&amp;D263</f>
        <v>rigid_carbon * rigid_PS_POLY_NEW_mass_pyrolysis</v>
      </c>
      <c r="H561" s="220"/>
      <c r="I561" s="6" t="str">
        <f t="shared" si="88"/>
        <v>PS</v>
      </c>
      <c r="J561" t="s">
        <v>1889</v>
      </c>
      <c r="K561" s="33">
        <f t="shared" si="87"/>
        <v>8.5984700476751996E-2</v>
      </c>
      <c r="L561" t="s">
        <v>96</v>
      </c>
      <c r="M561" t="str">
        <f t="shared" si="89"/>
        <v>rigid_PS_PUR_POLY_carbon_pyrolysis - rigid_PS_POLY_NEW_carbon_pyrolysis</v>
      </c>
      <c r="N561" s="14" t="s">
        <v>1005</v>
      </c>
    </row>
    <row r="562" spans="1:14" x14ac:dyDescent="0.2">
      <c r="A562" s="14"/>
      <c r="B562" s="220"/>
      <c r="C562" s="6" t="str">
        <f t="shared" si="86"/>
        <v>Other</v>
      </c>
      <c r="D562" t="s">
        <v>1575</v>
      </c>
      <c r="E562" s="33">
        <f>$C$389*E264</f>
        <v>21.066251616804234</v>
      </c>
      <c r="F562" t="s">
        <v>96</v>
      </c>
      <c r="G562" s="32" t="str">
        <f>$B$389&amp;" * "&amp;D264</f>
        <v>rigid_carbon * rigid_Oth_POLY_NEW_mass_pyrolysis</v>
      </c>
      <c r="H562" s="220"/>
      <c r="I562" s="6" t="str">
        <f t="shared" si="88"/>
        <v>Other</v>
      </c>
      <c r="J562" t="s">
        <v>1890</v>
      </c>
      <c r="K562" s="33">
        <f t="shared" si="87"/>
        <v>0.4299235023837582</v>
      </c>
      <c r="L562" t="s">
        <v>96</v>
      </c>
      <c r="M562" t="str">
        <f t="shared" si="89"/>
        <v>rigid_Oth_PUR_POLY_carbon_pyrolysis - rigid_Oth_POLY_NEW_carbon_pyrolysis</v>
      </c>
      <c r="N562" s="14" t="s">
        <v>1005</v>
      </c>
    </row>
    <row r="563" spans="1:14" x14ac:dyDescent="0.2">
      <c r="A563" s="14"/>
      <c r="B563" s="220" t="s">
        <v>42</v>
      </c>
      <c r="C563" s="6" t="str">
        <f t="shared" si="86"/>
        <v>PET</v>
      </c>
      <c r="D563" t="s">
        <v>1576</v>
      </c>
      <c r="E563" s="33">
        <f>$C$390*E265</f>
        <v>0</v>
      </c>
      <c r="F563" t="s">
        <v>96</v>
      </c>
      <c r="G563" s="32" t="str">
        <f>$B$390&amp;" * "&amp;D265</f>
        <v>soft_carbon * soft_PET_POLY_NEW_mass_pyrolysis</v>
      </c>
      <c r="H563" s="220" t="s">
        <v>42</v>
      </c>
      <c r="I563" s="6" t="str">
        <f t="shared" si="88"/>
        <v>PET</v>
      </c>
      <c r="J563" t="s">
        <v>1891</v>
      </c>
      <c r="K563" s="33">
        <f t="shared" si="87"/>
        <v>0</v>
      </c>
      <c r="L563" t="s">
        <v>96</v>
      </c>
      <c r="M563" t="str">
        <f t="shared" si="89"/>
        <v>soft_PET_PUR_POLY_carbon_pyrolysis - soft_PET_POLY_NEW_carbon_pyrolysis</v>
      </c>
      <c r="N563" s="14" t="s">
        <v>1005</v>
      </c>
    </row>
    <row r="564" spans="1:14" x14ac:dyDescent="0.2">
      <c r="A564" s="14"/>
      <c r="B564" s="220"/>
      <c r="C564" s="6" t="str">
        <f t="shared" si="86"/>
        <v>PE</v>
      </c>
      <c r="D564" t="s">
        <v>1577</v>
      </c>
      <c r="E564" s="33">
        <f>$C$390*E266</f>
        <v>117.18254588330466</v>
      </c>
      <c r="F564" t="s">
        <v>96</v>
      </c>
      <c r="G564" s="32" t="str">
        <f>$B$390&amp;" * "&amp;D266</f>
        <v>soft_carbon * soft_PE_POLY_NEW_mass_pyrolysis</v>
      </c>
      <c r="H564" s="220"/>
      <c r="I564" s="6" t="str">
        <f t="shared" si="88"/>
        <v>PE</v>
      </c>
      <c r="J564" t="s">
        <v>1892</v>
      </c>
      <c r="K564" s="33">
        <f t="shared" si="87"/>
        <v>2.3914805282307157</v>
      </c>
      <c r="L564" t="s">
        <v>96</v>
      </c>
      <c r="M564" t="str">
        <f t="shared" si="89"/>
        <v>soft_PE_PUR_POLY_carbon_pyrolysis - soft_PE_POLY_NEW_carbon_pyrolysis</v>
      </c>
      <c r="N564" s="14" t="s">
        <v>1005</v>
      </c>
    </row>
    <row r="565" spans="1:14" x14ac:dyDescent="0.2">
      <c r="A565" s="14"/>
      <c r="B565" s="220"/>
      <c r="C565" s="6" t="str">
        <f t="shared" si="86"/>
        <v>PP</v>
      </c>
      <c r="D565" t="s">
        <v>1578</v>
      </c>
      <c r="E565" s="33">
        <f>$C$390*E267</f>
        <v>0</v>
      </c>
      <c r="F565" t="s">
        <v>96</v>
      </c>
      <c r="G565" s="32" t="str">
        <f>$B$390&amp;" * "&amp;D267</f>
        <v>soft_carbon * soft_PP_POLY_NEW_mass_pyrolysis</v>
      </c>
      <c r="H565" s="220"/>
      <c r="I565" s="6" t="str">
        <f t="shared" si="88"/>
        <v>PP</v>
      </c>
      <c r="J565" t="s">
        <v>1893</v>
      </c>
      <c r="K565" s="33">
        <f t="shared" si="87"/>
        <v>0</v>
      </c>
      <c r="L565" t="s">
        <v>96</v>
      </c>
      <c r="M565" t="str">
        <f t="shared" si="89"/>
        <v>soft_PP_PUR_POLY_carbon_pyrolysis - soft_PP_POLY_NEW_carbon_pyrolysis</v>
      </c>
      <c r="N565" s="14" t="s">
        <v>1005</v>
      </c>
    </row>
    <row r="566" spans="1:14" x14ac:dyDescent="0.2">
      <c r="A566" s="14"/>
      <c r="B566" s="220"/>
      <c r="C566" s="6" t="str">
        <f t="shared" si="86"/>
        <v>PS</v>
      </c>
      <c r="D566" t="s">
        <v>1579</v>
      </c>
      <c r="E566" s="33">
        <f>$C$390*E268</f>
        <v>0</v>
      </c>
      <c r="F566" t="s">
        <v>96</v>
      </c>
      <c r="G566" s="32" t="str">
        <f>$B$390&amp;" * "&amp;D268</f>
        <v>soft_carbon * soft_PS_POLY_NEW_mass_pyrolysis</v>
      </c>
      <c r="H566" s="220"/>
      <c r="I566" s="6" t="str">
        <f t="shared" si="88"/>
        <v>PS</v>
      </c>
      <c r="J566" t="s">
        <v>1894</v>
      </c>
      <c r="K566" s="33">
        <f t="shared" si="87"/>
        <v>0</v>
      </c>
      <c r="L566" t="s">
        <v>96</v>
      </c>
      <c r="M566" t="str">
        <f t="shared" si="89"/>
        <v>soft_PS_PUR_POLY_carbon_pyrolysis - soft_PS_POLY_NEW_carbon_pyrolysis</v>
      </c>
      <c r="N566" s="14" t="s">
        <v>1005</v>
      </c>
    </row>
    <row r="567" spans="1:14" x14ac:dyDescent="0.2">
      <c r="A567" s="14"/>
      <c r="B567" s="227"/>
      <c r="C567" s="60" t="str">
        <f t="shared" si="86"/>
        <v>Other</v>
      </c>
      <c r="D567" s="44" t="s">
        <v>1580</v>
      </c>
      <c r="E567" s="62">
        <f>$C$390*E269</f>
        <v>38.371390579440991</v>
      </c>
      <c r="F567" s="44" t="s">
        <v>96</v>
      </c>
      <c r="G567" s="32" t="str">
        <f>$B$390&amp;" * "&amp;D269</f>
        <v>soft_carbon * soft_Oth_POLY_NEW_mass_pyrolysis</v>
      </c>
      <c r="H567" s="220"/>
      <c r="I567" s="6" t="str">
        <f t="shared" si="88"/>
        <v>Other</v>
      </c>
      <c r="J567" t="s">
        <v>1895</v>
      </c>
      <c r="K567" s="33">
        <f t="shared" si="87"/>
        <v>0.78308960366206293</v>
      </c>
      <c r="L567" t="s">
        <v>96</v>
      </c>
      <c r="M567" t="str">
        <f t="shared" si="89"/>
        <v>soft_Oth_PUR_POLY_carbon_pyrolysis - soft_Oth_POLY_NEW_carbon_pyrolysis</v>
      </c>
      <c r="N567" s="14" t="s">
        <v>1005</v>
      </c>
    </row>
    <row r="568" spans="1:14" ht="25" customHeight="1" x14ac:dyDescent="0.2">
      <c r="A568" s="14"/>
      <c r="B568" s="214" t="s">
        <v>45</v>
      </c>
      <c r="C568" s="214"/>
      <c r="D568" s="214"/>
      <c r="E568" s="214"/>
      <c r="F568" s="214"/>
      <c r="G568" s="214"/>
      <c r="H568" s="214"/>
      <c r="I568" s="214"/>
      <c r="J568" s="214"/>
      <c r="K568" s="214"/>
      <c r="L568" s="214"/>
      <c r="M568" s="214"/>
      <c r="N568" s="14"/>
    </row>
    <row r="569" spans="1:14" x14ac:dyDescent="0.2">
      <c r="A569" s="14"/>
      <c r="B569" s="53" t="s">
        <v>46</v>
      </c>
      <c r="C569" s="10" t="s">
        <v>3</v>
      </c>
      <c r="D569" s="10" t="s">
        <v>4</v>
      </c>
      <c r="E569" s="53" t="s">
        <v>7</v>
      </c>
      <c r="F569" s="10"/>
      <c r="G569" s="40"/>
      <c r="H569" s="53" t="s">
        <v>49</v>
      </c>
      <c r="I569" s="53" t="s">
        <v>3</v>
      </c>
      <c r="J569" s="53" t="s">
        <v>4</v>
      </c>
      <c r="K569" s="53" t="s">
        <v>7</v>
      </c>
      <c r="L569" s="10"/>
      <c r="M569" s="10"/>
      <c r="N569" s="14"/>
    </row>
    <row r="570" spans="1:14" x14ac:dyDescent="0.2">
      <c r="A570" s="14"/>
      <c r="B570" t="s">
        <v>1900</v>
      </c>
      <c r="C570" s="33">
        <f>SUM(E553:E557)</f>
        <v>155.53580553345944</v>
      </c>
      <c r="D570" t="s">
        <v>96</v>
      </c>
      <c r="E570" t="s">
        <v>1908</v>
      </c>
      <c r="F570" s="2"/>
      <c r="G570" s="4"/>
      <c r="H570" t="s">
        <v>1896</v>
      </c>
      <c r="I570" s="33">
        <f>SUM(K553:K557)</f>
        <v>0.61025108252774274</v>
      </c>
      <c r="J570" t="s">
        <v>96</v>
      </c>
      <c r="K570" t="s">
        <v>1912</v>
      </c>
      <c r="L570" s="2"/>
      <c r="M570" s="2"/>
      <c r="N570" s="14"/>
    </row>
    <row r="571" spans="1:14" x14ac:dyDescent="0.2">
      <c r="A571" s="14"/>
      <c r="B571" t="s">
        <v>1901</v>
      </c>
      <c r="C571" s="33">
        <f>SUM(E558:E562)</f>
        <v>96.26973981126163</v>
      </c>
      <c r="D571" t="s">
        <v>96</v>
      </c>
      <c r="E571" t="s">
        <v>1909</v>
      </c>
      <c r="F571" s="2"/>
      <c r="G571" s="4"/>
      <c r="H571" t="s">
        <v>1897</v>
      </c>
      <c r="I571" s="33">
        <f>SUM(K558:K562)</f>
        <v>1.4654596043767683</v>
      </c>
      <c r="J571" t="s">
        <v>96</v>
      </c>
      <c r="K571" t="s">
        <v>1913</v>
      </c>
      <c r="L571" s="2"/>
      <c r="M571" s="2"/>
      <c r="N571" s="14"/>
    </row>
    <row r="572" spans="1:14" ht="16" thickBot="1" x14ac:dyDescent="0.25">
      <c r="A572" s="14"/>
      <c r="B572" s="8" t="s">
        <v>1902</v>
      </c>
      <c r="C572" s="34">
        <f>SUM(E563:E567)</f>
        <v>155.55393646274564</v>
      </c>
      <c r="D572" s="8" t="s">
        <v>96</v>
      </c>
      <c r="E572" s="8" t="s">
        <v>1910</v>
      </c>
      <c r="F572" s="37"/>
      <c r="G572" s="38"/>
      <c r="H572" s="8" t="s">
        <v>1898</v>
      </c>
      <c r="I572" s="34">
        <f>SUM(K563:K567)</f>
        <v>3.1745701318927786</v>
      </c>
      <c r="J572" s="8" t="s">
        <v>96</v>
      </c>
      <c r="K572" s="8" t="s">
        <v>1914</v>
      </c>
      <c r="L572" s="37"/>
      <c r="M572" s="37"/>
      <c r="N572" s="14"/>
    </row>
    <row r="573" spans="1:14" ht="16" thickTop="1" x14ac:dyDescent="0.2">
      <c r="A573" s="14"/>
      <c r="B573" s="44" t="s">
        <v>1581</v>
      </c>
      <c r="C573" s="62">
        <f>SUM(C570:C572)</f>
        <v>407.35948180746669</v>
      </c>
      <c r="D573" s="44" t="s">
        <v>96</v>
      </c>
      <c r="E573" s="44" t="s">
        <v>1911</v>
      </c>
      <c r="F573" s="56"/>
      <c r="G573" s="57"/>
      <c r="H573" s="44" t="s">
        <v>1899</v>
      </c>
      <c r="I573" s="62">
        <f>SUM(I570:I572)</f>
        <v>5.2502808187972896</v>
      </c>
      <c r="J573" s="44" t="s">
        <v>96</v>
      </c>
      <c r="K573" s="44" t="s">
        <v>1915</v>
      </c>
      <c r="L573" s="56"/>
      <c r="M573" s="56"/>
      <c r="N573" s="14"/>
    </row>
    <row r="574" spans="1:14" x14ac:dyDescent="0.2">
      <c r="A574" s="14"/>
      <c r="B574" s="145" t="s">
        <v>2704</v>
      </c>
      <c r="C574" s="138" t="str">
        <f>IF(C573+I573=C544,"true")</f>
        <v>true</v>
      </c>
      <c r="D574" s="125"/>
      <c r="E574" s="125"/>
      <c r="F574" s="125"/>
      <c r="G574" s="125"/>
      <c r="H574" s="145"/>
      <c r="I574" s="138"/>
      <c r="J574" s="125"/>
      <c r="K574" s="125"/>
      <c r="L574" s="125"/>
      <c r="M574" s="125"/>
      <c r="N574" s="14"/>
    </row>
    <row r="575" spans="1:14" x14ac:dyDescent="0.2">
      <c r="A575" s="14"/>
      <c r="B575" s="95"/>
      <c r="C575" s="96"/>
      <c r="D575" s="14"/>
      <c r="E575" s="14"/>
      <c r="F575" s="14"/>
      <c r="G575" s="14"/>
      <c r="H575" s="95"/>
      <c r="I575" s="96"/>
      <c r="J575" s="14"/>
      <c r="K575" s="14"/>
      <c r="L575" s="14"/>
      <c r="M575" s="14"/>
      <c r="N575" s="14"/>
    </row>
    <row r="576" spans="1:14" x14ac:dyDescent="0.2">
      <c r="A576" s="14"/>
      <c r="B576" s="95"/>
      <c r="C576" s="96"/>
      <c r="D576" s="14"/>
      <c r="E576" s="14"/>
      <c r="F576" s="14"/>
      <c r="G576" s="14"/>
      <c r="H576" s="95"/>
      <c r="I576" s="96"/>
      <c r="J576" s="14"/>
      <c r="K576" s="14"/>
      <c r="L576" s="14"/>
      <c r="M576" s="14"/>
      <c r="N576" s="14"/>
    </row>
    <row r="577" spans="1:14" x14ac:dyDescent="0.2">
      <c r="A577" s="14"/>
      <c r="B577" s="95"/>
      <c r="C577" s="96"/>
      <c r="D577" s="14"/>
      <c r="E577" s="14"/>
      <c r="F577" s="14"/>
      <c r="G577" s="14"/>
      <c r="H577" s="95"/>
      <c r="I577" s="96"/>
      <c r="J577" s="14"/>
      <c r="K577" s="14"/>
      <c r="L577" s="14"/>
      <c r="M577" s="14"/>
      <c r="N577" s="14"/>
    </row>
    <row r="578" spans="1:14" ht="25" customHeight="1" x14ac:dyDescent="0.2">
      <c r="A578" s="14"/>
      <c r="B578" s="214" t="s">
        <v>117</v>
      </c>
      <c r="C578" s="214"/>
      <c r="D578" s="214"/>
      <c r="E578" s="214"/>
      <c r="F578" s="214"/>
      <c r="G578" s="214"/>
      <c r="H578" s="214"/>
      <c r="I578" s="214"/>
      <c r="J578" s="214"/>
      <c r="K578" s="214"/>
      <c r="L578" s="214"/>
      <c r="M578" s="214"/>
      <c r="N578" s="14"/>
    </row>
    <row r="579" spans="1:14" ht="25" customHeight="1" x14ac:dyDescent="0.2">
      <c r="A579" s="14"/>
      <c r="B579" s="214" t="s">
        <v>135</v>
      </c>
      <c r="C579" s="214"/>
      <c r="D579" s="214"/>
      <c r="E579" s="214"/>
      <c r="F579" s="214"/>
      <c r="G579" s="214"/>
      <c r="H579" s="29"/>
      <c r="I579" s="29"/>
      <c r="J579" s="29"/>
      <c r="K579" s="29"/>
      <c r="L579" s="29"/>
      <c r="M579" s="29"/>
      <c r="N579" s="14"/>
    </row>
    <row r="580" spans="1:14" x14ac:dyDescent="0.2">
      <c r="A580" s="14"/>
      <c r="B580" s="2" t="s">
        <v>21</v>
      </c>
      <c r="C580" s="2" t="s">
        <v>20</v>
      </c>
      <c r="D580" s="2" t="s">
        <v>99</v>
      </c>
      <c r="E580" s="2" t="s">
        <v>3</v>
      </c>
      <c r="F580" s="2" t="s">
        <v>4</v>
      </c>
      <c r="G580" s="2" t="s">
        <v>43</v>
      </c>
      <c r="H580" s="2"/>
      <c r="I580" s="2"/>
      <c r="J580" s="2"/>
      <c r="K580" s="2"/>
      <c r="L580" s="2"/>
      <c r="M580" s="2"/>
      <c r="N580" s="14"/>
    </row>
    <row r="581" spans="1:14" x14ac:dyDescent="0.2">
      <c r="A581" s="14"/>
      <c r="B581" s="220" t="s">
        <v>14</v>
      </c>
      <c r="C581" s="6" t="str">
        <f t="shared" ref="C581:C600" si="90">C395</f>
        <v>PET</v>
      </c>
      <c r="D581" t="s">
        <v>1688</v>
      </c>
      <c r="E581" s="33">
        <f>$C$388*E292</f>
        <v>36.946208313599996</v>
      </c>
      <c r="F581" t="s">
        <v>96</v>
      </c>
      <c r="G581" t="str">
        <f>$B$388&amp;" * "&amp;D292</f>
        <v>bottle_carbon * bottle_PET_INC_tot_mass_pyrolysis</v>
      </c>
      <c r="H581" s="66"/>
      <c r="I581" s="6"/>
      <c r="N581" s="14"/>
    </row>
    <row r="582" spans="1:14" x14ac:dyDescent="0.2">
      <c r="A582" s="14"/>
      <c r="B582" s="220"/>
      <c r="C582" s="6" t="str">
        <f t="shared" si="90"/>
        <v>PE</v>
      </c>
      <c r="D582" t="s">
        <v>1689</v>
      </c>
      <c r="E582" s="33">
        <f>$C$388*E293</f>
        <v>12.596064962847745</v>
      </c>
      <c r="F582" t="str">
        <f>F581</f>
        <v>kg C</v>
      </c>
      <c r="G582" t="str">
        <f>$B$388&amp;" * "&amp;D293</f>
        <v>bottle_carbon * bottle_PE_INC_tot_mass_pyrolysis</v>
      </c>
      <c r="H582" s="66"/>
      <c r="I582" s="6"/>
      <c r="N582" s="14"/>
    </row>
    <row r="583" spans="1:14" x14ac:dyDescent="0.2">
      <c r="A583" s="14"/>
      <c r="B583" s="220"/>
      <c r="C583" s="6" t="str">
        <f t="shared" si="90"/>
        <v>PP</v>
      </c>
      <c r="D583" t="s">
        <v>1690</v>
      </c>
      <c r="E583" s="33">
        <f>$C$388*E294</f>
        <v>0</v>
      </c>
      <c r="F583" t="str">
        <f t="shared" ref="F583:F600" si="91">F582</f>
        <v>kg C</v>
      </c>
      <c r="G583" t="str">
        <f>$B$388&amp;" * "&amp;D294</f>
        <v>bottle_carbon * bottle_PP_INC_tot_mass_pyrolysis</v>
      </c>
      <c r="H583" s="66"/>
      <c r="I583" s="6"/>
      <c r="N583" s="14"/>
    </row>
    <row r="584" spans="1:14" x14ac:dyDescent="0.2">
      <c r="A584" s="14"/>
      <c r="B584" s="220"/>
      <c r="C584" s="6" t="str">
        <f t="shared" si="90"/>
        <v>PS</v>
      </c>
      <c r="D584" t="s">
        <v>1691</v>
      </c>
      <c r="E584" s="33">
        <f>$C$388*E295</f>
        <v>0</v>
      </c>
      <c r="F584" t="str">
        <f t="shared" si="91"/>
        <v>kg C</v>
      </c>
      <c r="G584" t="str">
        <f>$B$388&amp;" * "&amp;D295</f>
        <v>bottle_carbon * bottle_PS_INC_tot_mass_pyrolysis</v>
      </c>
      <c r="H584" s="66"/>
      <c r="I584" s="6"/>
      <c r="N584" s="14"/>
    </row>
    <row r="585" spans="1:14" x14ac:dyDescent="0.2">
      <c r="A585" s="14"/>
      <c r="B585" s="220"/>
      <c r="C585" s="6" t="str">
        <f t="shared" si="90"/>
        <v>Other</v>
      </c>
      <c r="D585" t="s">
        <v>1692</v>
      </c>
      <c r="E585" s="33">
        <f>$C$388*E296</f>
        <v>0</v>
      </c>
      <c r="F585" t="str">
        <f>F584</f>
        <v>kg C</v>
      </c>
      <c r="G585" t="str">
        <f>$B$388&amp;" * "&amp;D296</f>
        <v>bottle_carbon * bottle_oth_INC_tot_mass_pyrolysis</v>
      </c>
      <c r="H585" s="66"/>
      <c r="I585" s="6"/>
      <c r="N585" s="14"/>
    </row>
    <row r="586" spans="1:14" x14ac:dyDescent="0.2">
      <c r="A586" s="14"/>
      <c r="B586" s="220" t="s">
        <v>15</v>
      </c>
      <c r="C586" s="6" t="str">
        <f t="shared" si="90"/>
        <v>PET</v>
      </c>
      <c r="D586" t="s">
        <v>1693</v>
      </c>
      <c r="E586" s="33">
        <f>$C$389*E297</f>
        <v>7.1938314887999999</v>
      </c>
      <c r="F586" t="str">
        <f t="shared" si="91"/>
        <v>kg C</v>
      </c>
      <c r="G586" t="str">
        <f>$B$389&amp;" * "&amp;D297</f>
        <v>rigid_carbon * rigid_PET_INC_tot_mass_pyrolysis</v>
      </c>
      <c r="H586" s="66"/>
      <c r="I586" s="6"/>
      <c r="N586" s="14"/>
    </row>
    <row r="587" spans="1:14" x14ac:dyDescent="0.2">
      <c r="A587" s="14"/>
      <c r="B587" s="220"/>
      <c r="C587" s="6" t="str">
        <f t="shared" si="90"/>
        <v>PE</v>
      </c>
      <c r="D587" t="s">
        <v>1694</v>
      </c>
      <c r="E587" s="33">
        <f t="shared" ref="E587:E590" si="92">$C$389*E298</f>
        <v>6.0438870166656935</v>
      </c>
      <c r="F587" t="str">
        <f t="shared" si="91"/>
        <v>kg C</v>
      </c>
      <c r="G587" t="str">
        <f>$B$389&amp;" * "&amp;D298</f>
        <v>rigid_carbon * rigid_PE_INC_tot_mass_pyrolysis</v>
      </c>
      <c r="H587" s="66"/>
      <c r="I587" s="6"/>
      <c r="N587" s="14"/>
    </row>
    <row r="588" spans="1:14" x14ac:dyDescent="0.2">
      <c r="A588" s="14"/>
      <c r="B588" s="220"/>
      <c r="C588" s="6" t="str">
        <f t="shared" si="90"/>
        <v>PP</v>
      </c>
      <c r="D588" t="s">
        <v>1695</v>
      </c>
      <c r="E588" s="33">
        <f t="shared" si="92"/>
        <v>16.373099285410564</v>
      </c>
      <c r="F588" t="str">
        <f t="shared" si="91"/>
        <v>kg C</v>
      </c>
      <c r="G588" t="str">
        <f>$B$389&amp;" * "&amp;D299</f>
        <v>rigid_carbon * rigid_PP_INC_tot_mass_pyrolysis</v>
      </c>
      <c r="H588" s="66"/>
      <c r="I588" s="6"/>
      <c r="N588" s="14"/>
    </row>
    <row r="589" spans="1:14" x14ac:dyDescent="0.2">
      <c r="A589" s="14"/>
      <c r="B589" s="220"/>
      <c r="C589" s="6" t="str">
        <f t="shared" si="90"/>
        <v>PS</v>
      </c>
      <c r="D589" t="s">
        <v>1696</v>
      </c>
      <c r="E589" s="33">
        <f t="shared" si="92"/>
        <v>1.884442572676752</v>
      </c>
      <c r="F589" t="str">
        <f t="shared" si="91"/>
        <v>kg C</v>
      </c>
      <c r="G589" t="str">
        <f>$B$389&amp;" * "&amp;D300</f>
        <v>rigid_carbon * rigid_PS_INC_tot_mass_pyrolysis</v>
      </c>
      <c r="H589" s="66"/>
      <c r="I589" s="6"/>
      <c r="N589" s="14"/>
    </row>
    <row r="590" spans="1:14" x14ac:dyDescent="0.2">
      <c r="A590" s="14"/>
      <c r="B590" s="220"/>
      <c r="C590" s="6" t="str">
        <f t="shared" si="90"/>
        <v>Other</v>
      </c>
      <c r="D590" t="s">
        <v>1697</v>
      </c>
      <c r="E590" s="33">
        <f t="shared" si="92"/>
        <v>9.4222128633837574</v>
      </c>
      <c r="F590" t="str">
        <f t="shared" si="91"/>
        <v>kg C</v>
      </c>
      <c r="G590" t="str">
        <f>$B$389&amp;" * "&amp;D301</f>
        <v>rigid_carbon * rigid_Oth_INC_tot_mass_pyrolysis</v>
      </c>
      <c r="H590" s="66"/>
      <c r="I590" s="6"/>
      <c r="N590" s="14"/>
    </row>
    <row r="591" spans="1:14" x14ac:dyDescent="0.2">
      <c r="A591" s="14"/>
      <c r="B591" s="220" t="s">
        <v>42</v>
      </c>
      <c r="C591" s="6" t="str">
        <f t="shared" si="90"/>
        <v>PET</v>
      </c>
      <c r="D591" t="s">
        <v>1698</v>
      </c>
      <c r="E591" s="33">
        <f>$C$390*E302</f>
        <v>0</v>
      </c>
      <c r="F591" t="str">
        <f t="shared" si="91"/>
        <v>kg C</v>
      </c>
      <c r="G591" t="str">
        <f>$B$390&amp;" * "&amp;D302</f>
        <v>soft_carbon * soft_PET_INC_tot_mass_pyrolysis</v>
      </c>
      <c r="H591" s="66"/>
      <c r="I591" s="6"/>
      <c r="N591" s="14"/>
    </row>
    <row r="592" spans="1:14" x14ac:dyDescent="0.2">
      <c r="A592" s="14"/>
      <c r="B592" s="220"/>
      <c r="C592" s="6" t="str">
        <f t="shared" si="90"/>
        <v>PE</v>
      </c>
      <c r="D592" t="s">
        <v>1699</v>
      </c>
      <c r="E592" s="33">
        <f t="shared" ref="E592:E595" si="93">$C$390*E303</f>
        <v>71.064669791846697</v>
      </c>
      <c r="F592" t="str">
        <f t="shared" si="91"/>
        <v>kg C</v>
      </c>
      <c r="G592" t="str">
        <f>$B$390&amp;" * "&amp;D303</f>
        <v>soft_carbon * soft_PE_INC_tot_mass_pyrolysis</v>
      </c>
      <c r="H592" s="66"/>
      <c r="I592" s="6"/>
      <c r="N592" s="14"/>
    </row>
    <row r="593" spans="1:14" x14ac:dyDescent="0.2">
      <c r="A593" s="14"/>
      <c r="B593" s="220"/>
      <c r="C593" s="6" t="str">
        <f t="shared" si="90"/>
        <v>PP</v>
      </c>
      <c r="D593" t="s">
        <v>1700</v>
      </c>
      <c r="E593" s="33">
        <f t="shared" si="93"/>
        <v>0</v>
      </c>
      <c r="F593" t="str">
        <f t="shared" si="91"/>
        <v>kg C</v>
      </c>
      <c r="G593" t="str">
        <f>$B$390&amp;" * "&amp;D304</f>
        <v>soft_carbon * soft_PP_INC_tot_mass_pyrolysis</v>
      </c>
      <c r="H593" s="66"/>
      <c r="I593" s="6"/>
      <c r="N593" s="14"/>
    </row>
    <row r="594" spans="1:14" x14ac:dyDescent="0.2">
      <c r="A594" s="14"/>
      <c r="B594" s="220"/>
      <c r="C594" s="6" t="str">
        <f t="shared" si="90"/>
        <v>PS</v>
      </c>
      <c r="D594" t="s">
        <v>1701</v>
      </c>
      <c r="E594" s="33">
        <f t="shared" si="93"/>
        <v>0</v>
      </c>
      <c r="F594" t="str">
        <f t="shared" si="91"/>
        <v>kg C</v>
      </c>
      <c r="G594" t="str">
        <f>$B$390&amp;" * "&amp;D305</f>
        <v>soft_carbon * soft_PS_INC_tot_mass_pyrolysis</v>
      </c>
      <c r="H594" s="66"/>
      <c r="I594" s="6"/>
      <c r="N594" s="14"/>
    </row>
    <row r="595" spans="1:14" x14ac:dyDescent="0.2">
      <c r="A595" s="14"/>
      <c r="B595" s="220"/>
      <c r="C595" s="6" t="str">
        <f t="shared" si="90"/>
        <v>Other</v>
      </c>
      <c r="D595" t="s">
        <v>1702</v>
      </c>
      <c r="E595" s="33">
        <f t="shared" si="93"/>
        <v>17.162208848542065</v>
      </c>
      <c r="F595" t="str">
        <f t="shared" si="91"/>
        <v>kg C</v>
      </c>
      <c r="G595" t="str">
        <f>$B$390&amp;" * "&amp;D306</f>
        <v>soft_carbon * soft_Oth_INC_tot_mass_pyrolysis</v>
      </c>
      <c r="H595" s="66"/>
      <c r="I595" s="6"/>
      <c r="N595" s="14"/>
    </row>
    <row r="596" spans="1:14" x14ac:dyDescent="0.2">
      <c r="A596" s="14"/>
      <c r="B596" s="220" t="s">
        <v>19</v>
      </c>
      <c r="C596" s="6" t="str">
        <f t="shared" si="90"/>
        <v>PET</v>
      </c>
      <c r="D596" t="s">
        <v>1903</v>
      </c>
      <c r="E596" s="33">
        <f>$C$391*E307</f>
        <v>0</v>
      </c>
      <c r="F596" t="str">
        <f t="shared" si="91"/>
        <v>kg C</v>
      </c>
      <c r="G596" t="str">
        <f>$B$391&amp;" * "&amp;D307</f>
        <v>nonrec_carbon * other_PET_INC_tot_mass_pyrolysis</v>
      </c>
      <c r="H596" s="66"/>
      <c r="I596" s="6"/>
      <c r="N596" s="14"/>
    </row>
    <row r="597" spans="1:14" x14ac:dyDescent="0.2">
      <c r="A597" s="14"/>
      <c r="B597" s="220"/>
      <c r="C597" s="6" t="str">
        <f t="shared" si="90"/>
        <v>PE</v>
      </c>
      <c r="D597" t="s">
        <v>1904</v>
      </c>
      <c r="E597" s="33">
        <f t="shared" ref="E597:E600" si="94">$C$391*E308</f>
        <v>0</v>
      </c>
      <c r="F597" t="str">
        <f t="shared" si="91"/>
        <v>kg C</v>
      </c>
      <c r="G597" t="str">
        <f>$B$391&amp;" * "&amp;D308</f>
        <v>nonrec_carbon * other_PE_INC_tot_mass_pyrolysis</v>
      </c>
      <c r="H597" s="66"/>
      <c r="I597" s="6"/>
      <c r="N597" s="14"/>
    </row>
    <row r="598" spans="1:14" x14ac:dyDescent="0.2">
      <c r="A598" s="14"/>
      <c r="B598" s="220"/>
      <c r="C598" s="6" t="str">
        <f t="shared" si="90"/>
        <v>PP</v>
      </c>
      <c r="D598" t="s">
        <v>1905</v>
      </c>
      <c r="E598" s="33">
        <f t="shared" si="94"/>
        <v>0</v>
      </c>
      <c r="F598" t="str">
        <f t="shared" si="91"/>
        <v>kg C</v>
      </c>
      <c r="G598" t="str">
        <f>$B$391&amp;" * "&amp;D309</f>
        <v>nonrec_carbon * other_PP_INC_tot_mass_pyrolysis</v>
      </c>
      <c r="H598" s="66"/>
      <c r="I598" s="6"/>
      <c r="N598" s="14"/>
    </row>
    <row r="599" spans="1:14" x14ac:dyDescent="0.2">
      <c r="A599" s="14"/>
      <c r="B599" s="220"/>
      <c r="C599" s="6" t="str">
        <f t="shared" si="90"/>
        <v>PS</v>
      </c>
      <c r="D599" t="s">
        <v>1906</v>
      </c>
      <c r="E599" s="33">
        <f t="shared" si="94"/>
        <v>0</v>
      </c>
      <c r="F599" t="str">
        <f t="shared" si="91"/>
        <v>kg C</v>
      </c>
      <c r="G599" t="str">
        <f>$B$391&amp;" * "&amp;D310</f>
        <v>nonrec_carbon * other_PS_INC_tot_mass_pyrolysis</v>
      </c>
      <c r="H599" s="66"/>
      <c r="I599" s="6"/>
      <c r="N599" s="14"/>
    </row>
    <row r="600" spans="1:14" x14ac:dyDescent="0.2">
      <c r="A600" s="14"/>
      <c r="B600" s="220"/>
      <c r="C600" s="6" t="str">
        <f t="shared" si="90"/>
        <v>Other</v>
      </c>
      <c r="D600" t="s">
        <v>1907</v>
      </c>
      <c r="E600" s="33">
        <f t="shared" si="94"/>
        <v>65.587399999999946</v>
      </c>
      <c r="F600" t="str">
        <f t="shared" si="91"/>
        <v>kg C</v>
      </c>
      <c r="G600" s="44" t="str">
        <f>$B$391&amp;" * "&amp;D311</f>
        <v>nonrec_carbon * other_Oth_INC_tot_mass_pyrolysis</v>
      </c>
      <c r="H600" s="66"/>
      <c r="I600" s="6"/>
      <c r="N600" s="14"/>
    </row>
    <row r="601" spans="1:14" ht="25" customHeight="1" x14ac:dyDescent="0.2">
      <c r="A601" s="14"/>
      <c r="B601" s="214" t="s">
        <v>127</v>
      </c>
      <c r="C601" s="214"/>
      <c r="D601" s="214"/>
      <c r="E601" s="214"/>
      <c r="F601" s="214"/>
      <c r="G601" s="226"/>
      <c r="H601" s="214"/>
      <c r="I601" s="214"/>
      <c r="J601" s="214"/>
      <c r="K601" s="214"/>
      <c r="L601" s="214"/>
      <c r="M601" s="214"/>
      <c r="N601" s="14"/>
    </row>
    <row r="602" spans="1:14" ht="25" customHeight="1" x14ac:dyDescent="0.2">
      <c r="A602" s="14"/>
      <c r="B602" s="214" t="s">
        <v>118</v>
      </c>
      <c r="C602" s="214"/>
      <c r="D602" s="214"/>
      <c r="E602" s="214"/>
      <c r="F602" s="214"/>
      <c r="G602" s="223"/>
      <c r="H602" s="214" t="s">
        <v>128</v>
      </c>
      <c r="I602" s="214"/>
      <c r="J602" s="214"/>
      <c r="K602" s="214"/>
      <c r="L602" s="214"/>
      <c r="M602" s="214"/>
      <c r="N602" s="14"/>
    </row>
    <row r="603" spans="1:14" x14ac:dyDescent="0.2">
      <c r="A603" s="14"/>
      <c r="B603" s="2" t="s">
        <v>21</v>
      </c>
      <c r="C603" s="2" t="s">
        <v>20</v>
      </c>
      <c r="D603" s="2" t="s">
        <v>99</v>
      </c>
      <c r="E603" s="2" t="s">
        <v>3</v>
      </c>
      <c r="F603" s="2" t="s">
        <v>4</v>
      </c>
      <c r="G603" s="4" t="s">
        <v>43</v>
      </c>
      <c r="H603" s="2" t="str">
        <f t="shared" ref="H603:M603" si="95">B603</f>
        <v>Fraction</v>
      </c>
      <c r="I603" s="2" t="str">
        <f t="shared" si="95"/>
        <v>Sub-fraction</v>
      </c>
      <c r="J603" s="2" t="str">
        <f t="shared" si="95"/>
        <v>Name</v>
      </c>
      <c r="K603" s="2" t="str">
        <f t="shared" si="95"/>
        <v>Value</v>
      </c>
      <c r="L603" s="2" t="str">
        <f t="shared" si="95"/>
        <v>Unit</v>
      </c>
      <c r="M603" s="2" t="str">
        <f t="shared" si="95"/>
        <v>Equation</v>
      </c>
      <c r="N603" s="14"/>
    </row>
    <row r="604" spans="1:14" x14ac:dyDescent="0.2">
      <c r="A604" s="14"/>
      <c r="B604" s="220" t="s">
        <v>14</v>
      </c>
      <c r="C604" s="6" t="str">
        <f t="shared" ref="C604:C623" si="96">C395</f>
        <v>PET</v>
      </c>
      <c r="D604" t="s">
        <v>1703</v>
      </c>
      <c r="E604">
        <v>0</v>
      </c>
      <c r="F604" t="s">
        <v>96</v>
      </c>
      <c r="G604" s="32" t="s">
        <v>2567</v>
      </c>
      <c r="H604" s="220" t="str">
        <f>B604</f>
        <v>Bottle</v>
      </c>
      <c r="I604" s="6" t="str">
        <f>C604</f>
        <v>PET</v>
      </c>
      <c r="J604" t="s">
        <v>1704</v>
      </c>
      <c r="K604" s="33">
        <f>E581-E604</f>
        <v>36.946208313599996</v>
      </c>
      <c r="L604" t="s">
        <v>96</v>
      </c>
      <c r="M604" t="str">
        <f>D581&amp;" - "&amp;D604</f>
        <v>bottle_PET_INC_tot_carbon_pyrolysis - bottle_PET_INC_ASH_carbon_pyrolysis</v>
      </c>
      <c r="N604" s="14"/>
    </row>
    <row r="605" spans="1:14" x14ac:dyDescent="0.2">
      <c r="A605" s="14"/>
      <c r="B605" s="220"/>
      <c r="C605" s="6" t="str">
        <f t="shared" si="96"/>
        <v>PE</v>
      </c>
      <c r="D605" t="s">
        <v>1705</v>
      </c>
      <c r="E605">
        <v>0</v>
      </c>
      <c r="F605" t="str">
        <f>F604</f>
        <v>kg C</v>
      </c>
      <c r="G605" s="32" t="s">
        <v>2567</v>
      </c>
      <c r="H605" s="220"/>
      <c r="I605" s="6" t="str">
        <f t="shared" ref="I605:I623" si="97">C605</f>
        <v>PE</v>
      </c>
      <c r="J605" t="s">
        <v>1706</v>
      </c>
      <c r="K605" s="33">
        <f>E582-E605</f>
        <v>12.596064962847745</v>
      </c>
      <c r="L605" t="str">
        <f>L604</f>
        <v>kg C</v>
      </c>
      <c r="M605" t="str">
        <f t="shared" ref="M605:M623" si="98">D582&amp;" - "&amp;D605</f>
        <v>bottle_PE_INC_tot_carbon_pyrolysis - bottle_PE_INC_ASH_carbon_pyrolysis</v>
      </c>
      <c r="N605" s="14"/>
    </row>
    <row r="606" spans="1:14" x14ac:dyDescent="0.2">
      <c r="A606" s="14"/>
      <c r="B606" s="220"/>
      <c r="C606" s="6" t="str">
        <f t="shared" si="96"/>
        <v>PP</v>
      </c>
      <c r="D606" t="s">
        <v>1707</v>
      </c>
      <c r="E606">
        <v>0</v>
      </c>
      <c r="F606" t="str">
        <f>F605</f>
        <v>kg C</v>
      </c>
      <c r="G606" s="32" t="s">
        <v>2567</v>
      </c>
      <c r="H606" s="220"/>
      <c r="I606" s="6" t="str">
        <f t="shared" si="97"/>
        <v>PP</v>
      </c>
      <c r="J606" t="s">
        <v>1708</v>
      </c>
      <c r="K606" s="33">
        <f>E583-E606</f>
        <v>0</v>
      </c>
      <c r="L606" t="str">
        <f>L605</f>
        <v>kg C</v>
      </c>
      <c r="M606" t="str">
        <f t="shared" si="98"/>
        <v>bottle_PP_INC_tot_carbon_pyrolysis - bottle_PP_INC_ASH_carbon_pyrolysis</v>
      </c>
      <c r="N606" s="14"/>
    </row>
    <row r="607" spans="1:14" x14ac:dyDescent="0.2">
      <c r="A607" s="14"/>
      <c r="B607" s="220"/>
      <c r="C607" s="6" t="str">
        <f t="shared" si="96"/>
        <v>PS</v>
      </c>
      <c r="D607" t="s">
        <v>1709</v>
      </c>
      <c r="E607">
        <v>0</v>
      </c>
      <c r="F607" t="str">
        <f t="shared" ref="F607:F623" si="99">F606</f>
        <v>kg C</v>
      </c>
      <c r="G607" s="32" t="s">
        <v>2567</v>
      </c>
      <c r="H607" s="220"/>
      <c r="I607" s="6" t="str">
        <f t="shared" si="97"/>
        <v>PS</v>
      </c>
      <c r="J607" t="s">
        <v>1710</v>
      </c>
      <c r="K607" s="33">
        <f>E584-E607</f>
        <v>0</v>
      </c>
      <c r="L607" t="str">
        <f t="shared" ref="L607:L623" si="100">L606</f>
        <v>kg C</v>
      </c>
      <c r="M607" t="str">
        <f t="shared" si="98"/>
        <v>bottle_PS_INC_tot_carbon_pyrolysis - bottle_PS_INC_ASH_carbon_pyrolysis</v>
      </c>
      <c r="N607" s="14"/>
    </row>
    <row r="608" spans="1:14" x14ac:dyDescent="0.2">
      <c r="A608" s="14"/>
      <c r="B608" s="220"/>
      <c r="C608" s="6" t="str">
        <f t="shared" si="96"/>
        <v>Other</v>
      </c>
      <c r="D608" t="s">
        <v>1711</v>
      </c>
      <c r="E608">
        <v>0</v>
      </c>
      <c r="F608" t="str">
        <f>F607</f>
        <v>kg C</v>
      </c>
      <c r="G608" s="32" t="s">
        <v>2567</v>
      </c>
      <c r="H608" s="220"/>
      <c r="I608" s="6" t="str">
        <f t="shared" si="97"/>
        <v>Other</v>
      </c>
      <c r="J608" t="s">
        <v>1712</v>
      </c>
      <c r="K608" s="33">
        <f t="shared" ref="K608:K623" si="101">E585-E608</f>
        <v>0</v>
      </c>
      <c r="L608" t="str">
        <f>L607</f>
        <v>kg C</v>
      </c>
      <c r="M608" t="str">
        <f t="shared" si="98"/>
        <v>bottle_oth_INC_tot_carbon_pyrolysis - bottle_Oth_INC_ASH_carbon_pyrolysis</v>
      </c>
      <c r="N608" s="14"/>
    </row>
    <row r="609" spans="1:14" x14ac:dyDescent="0.2">
      <c r="A609" s="14"/>
      <c r="B609" s="220" t="s">
        <v>15</v>
      </c>
      <c r="C609" s="6" t="str">
        <f t="shared" si="96"/>
        <v>PET</v>
      </c>
      <c r="D609" t="s">
        <v>1713</v>
      </c>
      <c r="E609">
        <v>0</v>
      </c>
      <c r="F609" t="str">
        <f t="shared" si="99"/>
        <v>kg C</v>
      </c>
      <c r="G609" s="32" t="s">
        <v>2567</v>
      </c>
      <c r="H609" s="220" t="s">
        <v>15</v>
      </c>
      <c r="I609" s="6" t="str">
        <f t="shared" si="97"/>
        <v>PET</v>
      </c>
      <c r="J609" t="s">
        <v>1714</v>
      </c>
      <c r="K609" s="33">
        <f t="shared" si="101"/>
        <v>7.1938314887999999</v>
      </c>
      <c r="L609" t="str">
        <f t="shared" si="100"/>
        <v>kg C</v>
      </c>
      <c r="M609" t="str">
        <f t="shared" si="98"/>
        <v>rigid_PET_INC_tot_carbon_pyrolysis - rigid_PET_INC_ASH_carbon_pyrolysis</v>
      </c>
      <c r="N609" s="14"/>
    </row>
    <row r="610" spans="1:14" x14ac:dyDescent="0.2">
      <c r="A610" s="14"/>
      <c r="B610" s="220"/>
      <c r="C610" s="6" t="str">
        <f t="shared" si="96"/>
        <v>PE</v>
      </c>
      <c r="D610" t="s">
        <v>1715</v>
      </c>
      <c r="E610">
        <v>0</v>
      </c>
      <c r="F610" t="str">
        <f t="shared" si="99"/>
        <v>kg C</v>
      </c>
      <c r="G610" s="32" t="s">
        <v>2567</v>
      </c>
      <c r="H610" s="220"/>
      <c r="I610" s="6" t="str">
        <f t="shared" si="97"/>
        <v>PE</v>
      </c>
      <c r="J610" t="s">
        <v>1716</v>
      </c>
      <c r="K610" s="33">
        <f t="shared" si="101"/>
        <v>6.0438870166656935</v>
      </c>
      <c r="L610" t="str">
        <f t="shared" si="100"/>
        <v>kg C</v>
      </c>
      <c r="M610" t="str">
        <f t="shared" si="98"/>
        <v>rigid_PE_INC_tot_carbon_pyrolysis - rigid_PE_INC_ASH_carbon_pyrolysis</v>
      </c>
      <c r="N610" s="14"/>
    </row>
    <row r="611" spans="1:14" x14ac:dyDescent="0.2">
      <c r="A611" s="14"/>
      <c r="B611" s="220"/>
      <c r="C611" s="6" t="str">
        <f t="shared" si="96"/>
        <v>PP</v>
      </c>
      <c r="D611" t="s">
        <v>1717</v>
      </c>
      <c r="E611">
        <v>0</v>
      </c>
      <c r="F611" t="str">
        <f t="shared" si="99"/>
        <v>kg C</v>
      </c>
      <c r="G611" s="32" t="s">
        <v>2567</v>
      </c>
      <c r="H611" s="220"/>
      <c r="I611" s="6" t="str">
        <f t="shared" si="97"/>
        <v>PP</v>
      </c>
      <c r="J611" t="s">
        <v>1718</v>
      </c>
      <c r="K611" s="33">
        <f t="shared" si="101"/>
        <v>16.373099285410564</v>
      </c>
      <c r="L611" t="str">
        <f t="shared" si="100"/>
        <v>kg C</v>
      </c>
      <c r="M611" t="str">
        <f t="shared" si="98"/>
        <v>rigid_PP_INC_tot_carbon_pyrolysis - rigid_PP_INC_ASH_carbon_pyrolysis</v>
      </c>
      <c r="N611" s="14"/>
    </row>
    <row r="612" spans="1:14" x14ac:dyDescent="0.2">
      <c r="A612" s="14"/>
      <c r="B612" s="220"/>
      <c r="C612" s="6" t="str">
        <f t="shared" si="96"/>
        <v>PS</v>
      </c>
      <c r="D612" t="s">
        <v>1719</v>
      </c>
      <c r="E612">
        <v>0</v>
      </c>
      <c r="F612" t="str">
        <f t="shared" si="99"/>
        <v>kg C</v>
      </c>
      <c r="G612" s="32" t="s">
        <v>2567</v>
      </c>
      <c r="H612" s="220"/>
      <c r="I612" s="6" t="str">
        <f t="shared" si="97"/>
        <v>PS</v>
      </c>
      <c r="J612" t="s">
        <v>1720</v>
      </c>
      <c r="K612" s="33">
        <f t="shared" si="101"/>
        <v>1.884442572676752</v>
      </c>
      <c r="L612" t="str">
        <f t="shared" si="100"/>
        <v>kg C</v>
      </c>
      <c r="M612" t="str">
        <f t="shared" si="98"/>
        <v>rigid_PS_INC_tot_carbon_pyrolysis - rigid_PS_INC_ASH_carbon_pyrolysis</v>
      </c>
      <c r="N612" s="14"/>
    </row>
    <row r="613" spans="1:14" x14ac:dyDescent="0.2">
      <c r="A613" s="14"/>
      <c r="B613" s="220"/>
      <c r="C613" s="6" t="str">
        <f t="shared" si="96"/>
        <v>Other</v>
      </c>
      <c r="D613" t="s">
        <v>1721</v>
      </c>
      <c r="E613">
        <v>0</v>
      </c>
      <c r="F613" t="str">
        <f t="shared" si="99"/>
        <v>kg C</v>
      </c>
      <c r="G613" s="32" t="s">
        <v>2567</v>
      </c>
      <c r="H613" s="220"/>
      <c r="I613" s="6" t="str">
        <f t="shared" si="97"/>
        <v>Other</v>
      </c>
      <c r="J613" t="s">
        <v>1722</v>
      </c>
      <c r="K613" s="33">
        <f t="shared" si="101"/>
        <v>9.4222128633837574</v>
      </c>
      <c r="L613" t="str">
        <f t="shared" si="100"/>
        <v>kg C</v>
      </c>
      <c r="M613" t="str">
        <f t="shared" si="98"/>
        <v>rigid_Oth_INC_tot_carbon_pyrolysis - rigid_Oth_INC_ASH_carbon_pyrolysis</v>
      </c>
      <c r="N613" s="14"/>
    </row>
    <row r="614" spans="1:14" x14ac:dyDescent="0.2">
      <c r="A614" s="14"/>
      <c r="B614" s="220" t="s">
        <v>42</v>
      </c>
      <c r="C614" s="6" t="str">
        <f t="shared" si="96"/>
        <v>PET</v>
      </c>
      <c r="D614" t="s">
        <v>1723</v>
      </c>
      <c r="E614">
        <v>0</v>
      </c>
      <c r="F614" t="str">
        <f t="shared" si="99"/>
        <v>kg C</v>
      </c>
      <c r="G614" s="32" t="s">
        <v>2567</v>
      </c>
      <c r="H614" s="220" t="s">
        <v>42</v>
      </c>
      <c r="I614" s="6" t="str">
        <f t="shared" si="97"/>
        <v>PET</v>
      </c>
      <c r="J614" t="s">
        <v>1724</v>
      </c>
      <c r="K614" s="33">
        <f t="shared" si="101"/>
        <v>0</v>
      </c>
      <c r="L614" t="str">
        <f t="shared" si="100"/>
        <v>kg C</v>
      </c>
      <c r="M614" t="str">
        <f t="shared" si="98"/>
        <v>soft_PET_INC_tot_carbon_pyrolysis - soft_PET_INC_ASH_carbon_pyrolysis</v>
      </c>
      <c r="N614" s="14"/>
    </row>
    <row r="615" spans="1:14" x14ac:dyDescent="0.2">
      <c r="A615" s="14"/>
      <c r="B615" s="220"/>
      <c r="C615" s="6" t="str">
        <f t="shared" si="96"/>
        <v>PE</v>
      </c>
      <c r="D615" t="s">
        <v>1725</v>
      </c>
      <c r="E615">
        <v>0</v>
      </c>
      <c r="F615" t="str">
        <f t="shared" si="99"/>
        <v>kg C</v>
      </c>
      <c r="G615" s="32" t="s">
        <v>2567</v>
      </c>
      <c r="H615" s="220"/>
      <c r="I615" s="6" t="str">
        <f t="shared" si="97"/>
        <v>PE</v>
      </c>
      <c r="J615" t="s">
        <v>1726</v>
      </c>
      <c r="K615" s="33">
        <f t="shared" si="101"/>
        <v>71.064669791846697</v>
      </c>
      <c r="L615" t="str">
        <f t="shared" si="100"/>
        <v>kg C</v>
      </c>
      <c r="M615" t="str">
        <f t="shared" si="98"/>
        <v>soft_PE_INC_tot_carbon_pyrolysis - soft_PE_INC_ASH_carbon_pyrolysis</v>
      </c>
      <c r="N615" s="14"/>
    </row>
    <row r="616" spans="1:14" x14ac:dyDescent="0.2">
      <c r="A616" s="14"/>
      <c r="B616" s="220"/>
      <c r="C616" s="6" t="str">
        <f t="shared" si="96"/>
        <v>PP</v>
      </c>
      <c r="D616" t="s">
        <v>1727</v>
      </c>
      <c r="E616">
        <v>0</v>
      </c>
      <c r="F616" t="str">
        <f t="shared" si="99"/>
        <v>kg C</v>
      </c>
      <c r="G616" s="32" t="s">
        <v>2567</v>
      </c>
      <c r="H616" s="220"/>
      <c r="I616" s="6" t="str">
        <f t="shared" si="97"/>
        <v>PP</v>
      </c>
      <c r="J616" t="s">
        <v>1728</v>
      </c>
      <c r="K616" s="33">
        <f t="shared" si="101"/>
        <v>0</v>
      </c>
      <c r="L616" t="str">
        <f t="shared" si="100"/>
        <v>kg C</v>
      </c>
      <c r="M616" t="str">
        <f t="shared" si="98"/>
        <v>soft_PP_INC_tot_carbon_pyrolysis - soft_PP_INC_ASH_carbon_pyrolysis</v>
      </c>
      <c r="N616" s="14"/>
    </row>
    <row r="617" spans="1:14" x14ac:dyDescent="0.2">
      <c r="A617" s="14"/>
      <c r="B617" s="220"/>
      <c r="C617" s="6" t="str">
        <f t="shared" si="96"/>
        <v>PS</v>
      </c>
      <c r="D617" t="s">
        <v>1729</v>
      </c>
      <c r="E617">
        <v>0</v>
      </c>
      <c r="F617" t="str">
        <f t="shared" si="99"/>
        <v>kg C</v>
      </c>
      <c r="G617" s="32" t="s">
        <v>2567</v>
      </c>
      <c r="H617" s="220"/>
      <c r="I617" s="6" t="str">
        <f t="shared" si="97"/>
        <v>PS</v>
      </c>
      <c r="J617" t="s">
        <v>1730</v>
      </c>
      <c r="K617" s="33">
        <f t="shared" si="101"/>
        <v>0</v>
      </c>
      <c r="L617" t="str">
        <f t="shared" si="100"/>
        <v>kg C</v>
      </c>
      <c r="M617" t="str">
        <f t="shared" si="98"/>
        <v>soft_PS_INC_tot_carbon_pyrolysis - soft_PS_INC_ASH_carbon_pyrolysis</v>
      </c>
      <c r="N617" s="14"/>
    </row>
    <row r="618" spans="1:14" x14ac:dyDescent="0.2">
      <c r="A618" s="14"/>
      <c r="B618" s="220"/>
      <c r="C618" s="6" t="str">
        <f t="shared" si="96"/>
        <v>Other</v>
      </c>
      <c r="D618" t="s">
        <v>1731</v>
      </c>
      <c r="E618">
        <v>0</v>
      </c>
      <c r="F618" t="str">
        <f t="shared" si="99"/>
        <v>kg C</v>
      </c>
      <c r="G618" s="32" t="s">
        <v>2567</v>
      </c>
      <c r="H618" s="220"/>
      <c r="I618" s="6" t="str">
        <f t="shared" si="97"/>
        <v>Other</v>
      </c>
      <c r="J618" t="s">
        <v>1732</v>
      </c>
      <c r="K618" s="33">
        <f t="shared" si="101"/>
        <v>17.162208848542065</v>
      </c>
      <c r="L618" t="str">
        <f t="shared" si="100"/>
        <v>kg C</v>
      </c>
      <c r="M618" t="str">
        <f t="shared" si="98"/>
        <v>soft_Oth_INC_tot_carbon_pyrolysis - soft_Oth_INC_ASH_carbon_pyrolysis</v>
      </c>
      <c r="N618" s="14"/>
    </row>
    <row r="619" spans="1:14" x14ac:dyDescent="0.2">
      <c r="A619" s="14"/>
      <c r="B619" s="220" t="s">
        <v>19</v>
      </c>
      <c r="C619" s="6" t="str">
        <f t="shared" si="96"/>
        <v>PET</v>
      </c>
      <c r="D619" t="s">
        <v>1733</v>
      </c>
      <c r="E619">
        <v>0</v>
      </c>
      <c r="F619" t="str">
        <f t="shared" si="99"/>
        <v>kg C</v>
      </c>
      <c r="G619" s="32" t="s">
        <v>2567</v>
      </c>
      <c r="H619" s="220" t="s">
        <v>19</v>
      </c>
      <c r="I619" s="6" t="str">
        <f t="shared" si="97"/>
        <v>PET</v>
      </c>
      <c r="J619" t="s">
        <v>1734</v>
      </c>
      <c r="K619" s="33">
        <f t="shared" si="101"/>
        <v>0</v>
      </c>
      <c r="L619" t="str">
        <f t="shared" si="100"/>
        <v>kg C</v>
      </c>
      <c r="M619" t="str">
        <f t="shared" si="98"/>
        <v>other_PET_INC_tot_carbon_pyrolysis - other_PET_INC_ASH_carbon_pyrolysis</v>
      </c>
      <c r="N619" s="14"/>
    </row>
    <row r="620" spans="1:14" x14ac:dyDescent="0.2">
      <c r="A620" s="14"/>
      <c r="B620" s="220"/>
      <c r="C620" s="6" t="str">
        <f t="shared" si="96"/>
        <v>PE</v>
      </c>
      <c r="D620" t="s">
        <v>1735</v>
      </c>
      <c r="E620">
        <v>0</v>
      </c>
      <c r="F620" t="str">
        <f t="shared" si="99"/>
        <v>kg C</v>
      </c>
      <c r="G620" s="32" t="s">
        <v>2567</v>
      </c>
      <c r="H620" s="220"/>
      <c r="I620" s="6" t="str">
        <f t="shared" si="97"/>
        <v>PE</v>
      </c>
      <c r="J620" t="s">
        <v>1736</v>
      </c>
      <c r="K620" s="33">
        <f t="shared" si="101"/>
        <v>0</v>
      </c>
      <c r="L620" t="str">
        <f t="shared" si="100"/>
        <v>kg C</v>
      </c>
      <c r="M620" t="str">
        <f t="shared" si="98"/>
        <v>other_PE_INC_tot_carbon_pyrolysis - other_PE_INC_ASH_carbon_pyrolysis</v>
      </c>
      <c r="N620" s="14"/>
    </row>
    <row r="621" spans="1:14" x14ac:dyDescent="0.2">
      <c r="A621" s="14"/>
      <c r="B621" s="220"/>
      <c r="C621" s="6" t="str">
        <f t="shared" si="96"/>
        <v>PP</v>
      </c>
      <c r="D621" t="s">
        <v>1737</v>
      </c>
      <c r="E621">
        <v>0</v>
      </c>
      <c r="F621" t="str">
        <f t="shared" si="99"/>
        <v>kg C</v>
      </c>
      <c r="G621" s="32" t="s">
        <v>2567</v>
      </c>
      <c r="H621" s="220"/>
      <c r="I621" s="6" t="str">
        <f t="shared" si="97"/>
        <v>PP</v>
      </c>
      <c r="J621" t="s">
        <v>1738</v>
      </c>
      <c r="K621" s="33">
        <f t="shared" si="101"/>
        <v>0</v>
      </c>
      <c r="L621" t="str">
        <f t="shared" si="100"/>
        <v>kg C</v>
      </c>
      <c r="M621" t="str">
        <f t="shared" si="98"/>
        <v>other_PP_INC_tot_carbon_pyrolysis - other_PP_INC_ASH_carbon_pyrolysis</v>
      </c>
      <c r="N621" s="14"/>
    </row>
    <row r="622" spans="1:14" x14ac:dyDescent="0.2">
      <c r="A622" s="14"/>
      <c r="B622" s="220"/>
      <c r="C622" s="6" t="str">
        <f t="shared" si="96"/>
        <v>PS</v>
      </c>
      <c r="D622" t="s">
        <v>1739</v>
      </c>
      <c r="E622">
        <v>0</v>
      </c>
      <c r="F622" t="str">
        <f t="shared" si="99"/>
        <v>kg C</v>
      </c>
      <c r="G622" s="32" t="s">
        <v>2567</v>
      </c>
      <c r="H622" s="220"/>
      <c r="I622" s="6" t="str">
        <f t="shared" si="97"/>
        <v>PS</v>
      </c>
      <c r="J622" t="s">
        <v>1740</v>
      </c>
      <c r="K622" s="33">
        <f t="shared" si="101"/>
        <v>0</v>
      </c>
      <c r="L622" t="str">
        <f t="shared" si="100"/>
        <v>kg C</v>
      </c>
      <c r="M622" t="str">
        <f t="shared" si="98"/>
        <v>other_PS_INC_tot_carbon_pyrolysis - other_PS_INC_ASH_carbon_pyrolysis</v>
      </c>
      <c r="N622" s="14"/>
    </row>
    <row r="623" spans="1:14" x14ac:dyDescent="0.2">
      <c r="A623" s="14"/>
      <c r="B623" s="227"/>
      <c r="C623" s="60" t="str">
        <f t="shared" si="96"/>
        <v>Other</v>
      </c>
      <c r="D623" s="44" t="s">
        <v>1741</v>
      </c>
      <c r="E623" s="44">
        <v>0</v>
      </c>
      <c r="F623" s="44" t="str">
        <f t="shared" si="99"/>
        <v>kg C</v>
      </c>
      <c r="G623" s="61" t="s">
        <v>2567</v>
      </c>
      <c r="H623" s="220"/>
      <c r="I623" s="6" t="str">
        <f t="shared" si="97"/>
        <v>Other</v>
      </c>
      <c r="J623" t="s">
        <v>1742</v>
      </c>
      <c r="K623" s="33">
        <f t="shared" si="101"/>
        <v>65.587399999999946</v>
      </c>
      <c r="L623" t="str">
        <f t="shared" si="100"/>
        <v>kg C</v>
      </c>
      <c r="M623" t="str">
        <f t="shared" si="98"/>
        <v>other_Oth_INC_tot_carbon_pyrolysis - other_Oth_INC_ASH_carbon_pyrolysis</v>
      </c>
      <c r="N623" s="14"/>
    </row>
    <row r="624" spans="1:14" ht="25" customHeight="1" x14ac:dyDescent="0.2">
      <c r="A624" s="14"/>
      <c r="B624" s="214" t="s">
        <v>166</v>
      </c>
      <c r="C624" s="214"/>
      <c r="D624" s="214"/>
      <c r="E624" s="214"/>
      <c r="F624" s="214"/>
      <c r="G624" s="214"/>
      <c r="H624" s="214"/>
      <c r="I624" s="214"/>
      <c r="J624" s="214"/>
      <c r="K624" s="214"/>
      <c r="L624" s="214"/>
      <c r="M624" s="214"/>
      <c r="N624" s="14"/>
    </row>
    <row r="625" spans="1:14" x14ac:dyDescent="0.2">
      <c r="A625" s="14"/>
      <c r="B625" s="2" t="str">
        <f>B569</f>
        <v>Patameter</v>
      </c>
      <c r="C625" s="2" t="str">
        <f>C569</f>
        <v>Value</v>
      </c>
      <c r="D625" s="2" t="str">
        <f>D569</f>
        <v>Unit</v>
      </c>
      <c r="E625" s="2" t="str">
        <f>E569</f>
        <v>Description</v>
      </c>
      <c r="F625" s="2"/>
      <c r="G625" s="1"/>
      <c r="H625" s="2" t="str">
        <f>B625</f>
        <v>Patameter</v>
      </c>
      <c r="I625" s="2" t="str">
        <f t="shared" ref="I625:K625" si="102">C625</f>
        <v>Value</v>
      </c>
      <c r="J625" s="2" t="str">
        <f t="shared" si="102"/>
        <v>Unit</v>
      </c>
      <c r="K625" s="2" t="str">
        <f t="shared" si="102"/>
        <v>Description</v>
      </c>
      <c r="L625" s="2"/>
      <c r="M625" s="2"/>
      <c r="N625" s="14"/>
    </row>
    <row r="626" spans="1:14" x14ac:dyDescent="0.2">
      <c r="A626" s="14"/>
      <c r="B626" t="s">
        <v>1743</v>
      </c>
      <c r="C626">
        <f>SUM(E604:E608)</f>
        <v>0</v>
      </c>
      <c r="D626" t="s">
        <v>96</v>
      </c>
      <c r="E626" t="s">
        <v>1110</v>
      </c>
      <c r="G626" s="32"/>
      <c r="H626" t="s">
        <v>1744</v>
      </c>
      <c r="I626" s="33">
        <f>SUM(K604:K608)</f>
        <v>49.542273276447744</v>
      </c>
      <c r="J626" t="s">
        <v>96</v>
      </c>
      <c r="K626" t="s">
        <v>1115</v>
      </c>
      <c r="N626" s="14"/>
    </row>
    <row r="627" spans="1:14" x14ac:dyDescent="0.2">
      <c r="A627" s="14"/>
      <c r="B627" t="s">
        <v>1745</v>
      </c>
      <c r="C627">
        <f>SUM(E609:E613)</f>
        <v>0</v>
      </c>
      <c r="D627" t="str">
        <f>D626</f>
        <v>kg C</v>
      </c>
      <c r="E627" t="s">
        <v>1111</v>
      </c>
      <c r="G627" s="32"/>
      <c r="H627" t="s">
        <v>1746</v>
      </c>
      <c r="I627" s="33">
        <f>SUM(K609:K613)</f>
        <v>40.917473226936764</v>
      </c>
      <c r="J627" t="str">
        <f>J626</f>
        <v>kg C</v>
      </c>
      <c r="K627" t="s">
        <v>1116</v>
      </c>
      <c r="N627" s="14"/>
    </row>
    <row r="628" spans="1:14" x14ac:dyDescent="0.2">
      <c r="A628" s="14"/>
      <c r="B628" t="s">
        <v>1747</v>
      </c>
      <c r="C628">
        <f>SUM(E614:E618)</f>
        <v>0</v>
      </c>
      <c r="D628" t="str">
        <f t="shared" ref="D628" si="103">D627</f>
        <v>kg C</v>
      </c>
      <c r="E628" t="s">
        <v>1112</v>
      </c>
      <c r="G628" s="32"/>
      <c r="H628" t="s">
        <v>1748</v>
      </c>
      <c r="I628" s="33">
        <f>SUM(K614:K618)</f>
        <v>88.226878640388762</v>
      </c>
      <c r="J628" t="str">
        <f t="shared" ref="J628:J629" si="104">J627</f>
        <v>kg C</v>
      </c>
      <c r="K628" t="s">
        <v>1117</v>
      </c>
      <c r="N628" s="14"/>
    </row>
    <row r="629" spans="1:14" ht="16" thickBot="1" x14ac:dyDescent="0.25">
      <c r="A629" s="14"/>
      <c r="B629" s="8" t="s">
        <v>1749</v>
      </c>
      <c r="C629" s="8">
        <f>SUM(E619:E623)</f>
        <v>0</v>
      </c>
      <c r="D629" s="8" t="str">
        <f>D628</f>
        <v>kg C</v>
      </c>
      <c r="E629" s="8" t="s">
        <v>1113</v>
      </c>
      <c r="F629" s="8"/>
      <c r="G629" s="87"/>
      <c r="H629" s="8" t="s">
        <v>1750</v>
      </c>
      <c r="I629" s="34">
        <f>SUM(K619:K623)</f>
        <v>65.587399999999946</v>
      </c>
      <c r="J629" s="8" t="str">
        <f t="shared" si="104"/>
        <v>kg C</v>
      </c>
      <c r="K629" s="8" t="s">
        <v>1118</v>
      </c>
      <c r="L629" s="8"/>
      <c r="M629" s="8"/>
      <c r="N629" s="14"/>
    </row>
    <row r="630" spans="1:14" ht="16" thickTop="1" x14ac:dyDescent="0.2">
      <c r="A630" s="14"/>
      <c r="B630" s="44" t="s">
        <v>1751</v>
      </c>
      <c r="C630" s="44">
        <f>SUM(C626:C629)</f>
        <v>0</v>
      </c>
      <c r="D630" s="44" t="str">
        <f>D628</f>
        <v>kg C</v>
      </c>
      <c r="E630" s="44" t="s">
        <v>2570</v>
      </c>
      <c r="F630" s="44"/>
      <c r="G630" s="61"/>
      <c r="H630" s="44" t="s">
        <v>1752</v>
      </c>
      <c r="I630" s="62">
        <f>SUM(I626:I629)</f>
        <v>244.2740251437732</v>
      </c>
      <c r="J630" s="44" t="str">
        <f>J628</f>
        <v>kg C</v>
      </c>
      <c r="K630" s="44" t="s">
        <v>2571</v>
      </c>
      <c r="L630" s="44"/>
      <c r="M630" s="44"/>
      <c r="N630" s="14"/>
    </row>
    <row r="631" spans="1:14" x14ac:dyDescent="0.2">
      <c r="A631" s="14"/>
      <c r="B631" s="125" t="s">
        <v>2704</v>
      </c>
      <c r="C631" s="125" t="b">
        <f>IF(C630+I630=I486+I457+I421,"true")</f>
        <v>0</v>
      </c>
      <c r="D631" s="125"/>
      <c r="E631" s="125"/>
      <c r="F631" s="125"/>
      <c r="G631" s="125"/>
      <c r="H631" s="125"/>
      <c r="I631" s="125"/>
      <c r="J631" s="125"/>
      <c r="K631" s="125"/>
      <c r="L631" s="125"/>
      <c r="M631" s="125"/>
      <c r="N631" s="14"/>
    </row>
    <row r="632" spans="1:14" x14ac:dyDescent="0.2">
      <c r="A632" s="14"/>
      <c r="B632" s="14"/>
      <c r="C632" s="71"/>
      <c r="D632" s="71"/>
      <c r="E632" s="14"/>
      <c r="F632" s="14"/>
      <c r="G632" s="14"/>
      <c r="H632" s="14"/>
      <c r="I632" s="14"/>
      <c r="J632" s="14"/>
      <c r="K632" s="14"/>
      <c r="L632" s="14"/>
      <c r="M632" s="14"/>
      <c r="N632" s="14"/>
    </row>
    <row r="633" spans="1:14" x14ac:dyDescent="0.2">
      <c r="A633" s="14"/>
      <c r="B633" s="14"/>
      <c r="C633" s="71"/>
      <c r="D633" s="14"/>
      <c r="E633" s="14"/>
      <c r="F633" s="14"/>
      <c r="G633" s="14"/>
      <c r="H633" s="14"/>
      <c r="I633" s="14"/>
      <c r="J633" s="14"/>
      <c r="K633" s="14"/>
      <c r="L633" s="14"/>
      <c r="M633" s="14"/>
      <c r="N633" s="14"/>
    </row>
    <row r="634" spans="1:14" x14ac:dyDescent="0.2">
      <c r="A634" s="14"/>
      <c r="B634" s="14"/>
      <c r="C634" s="14"/>
      <c r="D634" s="14"/>
      <c r="E634" s="14"/>
      <c r="F634" s="14"/>
      <c r="G634" s="14"/>
      <c r="H634" s="14"/>
      <c r="I634" s="14"/>
      <c r="J634" s="14"/>
      <c r="K634" s="14"/>
      <c r="L634" s="14"/>
      <c r="M634" s="14"/>
      <c r="N634" s="14"/>
    </row>
    <row r="635" spans="1:14" ht="25" customHeight="1" x14ac:dyDescent="0.2">
      <c r="A635" s="14"/>
      <c r="B635" s="214" t="s">
        <v>2919</v>
      </c>
      <c r="C635" s="214"/>
      <c r="D635" s="214"/>
      <c r="E635" s="214"/>
      <c r="F635" s="214"/>
      <c r="G635" s="214"/>
      <c r="H635" s="214"/>
      <c r="I635" s="214"/>
      <c r="J635" s="214"/>
      <c r="K635" s="214"/>
      <c r="L635" s="214"/>
      <c r="M635" s="214"/>
      <c r="N635" s="14"/>
    </row>
    <row r="636" spans="1:14" ht="25" customHeight="1" x14ac:dyDescent="0.2">
      <c r="A636" s="14"/>
      <c r="B636" s="214" t="s">
        <v>2921</v>
      </c>
      <c r="C636" s="214"/>
      <c r="D636" s="214"/>
      <c r="E636" s="214"/>
      <c r="F636" s="214"/>
      <c r="G636" s="214"/>
      <c r="H636" s="214"/>
      <c r="I636" s="214"/>
      <c r="J636" s="214"/>
      <c r="K636" s="214"/>
      <c r="L636" s="214"/>
      <c r="M636" s="214"/>
      <c r="N636" s="14"/>
    </row>
    <row r="637" spans="1:14" ht="25" customHeight="1" x14ac:dyDescent="0.2">
      <c r="A637" s="14"/>
      <c r="B637" s="214" t="s">
        <v>147</v>
      </c>
      <c r="C637" s="214"/>
      <c r="D637" s="214"/>
      <c r="E637" s="214"/>
      <c r="F637" s="214"/>
      <c r="G637" s="223"/>
      <c r="H637" s="214" t="s">
        <v>148</v>
      </c>
      <c r="I637" s="214"/>
      <c r="J637" s="214"/>
      <c r="K637" s="214"/>
      <c r="L637" s="214"/>
      <c r="M637" s="214"/>
      <c r="N637" s="14"/>
    </row>
    <row r="638" spans="1:14" x14ac:dyDescent="0.2">
      <c r="A638" s="14"/>
      <c r="B638" s="2" t="s">
        <v>21</v>
      </c>
      <c r="C638" s="2" t="s">
        <v>20</v>
      </c>
      <c r="D638" s="2" t="s">
        <v>99</v>
      </c>
      <c r="E638" s="2" t="s">
        <v>3</v>
      </c>
      <c r="F638" s="2" t="s">
        <v>4</v>
      </c>
      <c r="G638" s="4" t="s">
        <v>43</v>
      </c>
      <c r="H638" s="2" t="str">
        <f t="shared" ref="H638:M638" si="105">B638</f>
        <v>Fraction</v>
      </c>
      <c r="I638" s="2" t="str">
        <f t="shared" si="105"/>
        <v>Sub-fraction</v>
      </c>
      <c r="J638" s="2" t="str">
        <f t="shared" si="105"/>
        <v>Name</v>
      </c>
      <c r="K638" s="2" t="str">
        <f t="shared" si="105"/>
        <v>Value</v>
      </c>
      <c r="L638" s="2" t="str">
        <f t="shared" si="105"/>
        <v>Unit</v>
      </c>
      <c r="M638" s="2" t="str">
        <f t="shared" si="105"/>
        <v>Equation</v>
      </c>
      <c r="N638" s="14"/>
    </row>
    <row r="639" spans="1:14" x14ac:dyDescent="0.2">
      <c r="A639" s="14"/>
      <c r="B639" s="221" t="s">
        <v>14</v>
      </c>
      <c r="C639" s="6" t="str">
        <f t="shared" ref="C639:C658" si="106">C395</f>
        <v>PET</v>
      </c>
      <c r="D639" t="s">
        <v>3029</v>
      </c>
      <c r="E639" s="33">
        <f>E352</f>
        <v>33.251587482239998</v>
      </c>
      <c r="F639" t="s">
        <v>96</v>
      </c>
      <c r="G639" s="32" t="str">
        <f>$B$388&amp;" * "&amp;J315</f>
        <v>bottle_carbon * bottle_PET_INC_AIR_mass_pyrolysis</v>
      </c>
      <c r="H639" s="221" t="str">
        <f>B639</f>
        <v>Bottle</v>
      </c>
      <c r="I639" s="6" t="str">
        <f>C639</f>
        <v>PET</v>
      </c>
      <c r="J639" t="s">
        <v>1753</v>
      </c>
      <c r="K639" s="33">
        <f t="shared" ref="K639:K658" si="107">K604-E639</f>
        <v>3.6946208313599982</v>
      </c>
      <c r="L639" t="s">
        <v>96</v>
      </c>
      <c r="M639" t="str">
        <f>J604&amp;" - "&amp;D639</f>
        <v>bottle_PET_INC_AIR_carbon_pyrolysis - bottle_PET_AIR_CC_carbon_pyrolysis</v>
      </c>
      <c r="N639" s="14"/>
    </row>
    <row r="640" spans="1:14" x14ac:dyDescent="0.2">
      <c r="A640" s="14"/>
      <c r="B640" s="221"/>
      <c r="C640" s="6" t="str">
        <f t="shared" si="106"/>
        <v>PE</v>
      </c>
      <c r="D640" t="s">
        <v>3030</v>
      </c>
      <c r="E640" s="33">
        <f t="shared" ref="E640:E658" si="108">E353</f>
        <v>11.33645846656297</v>
      </c>
      <c r="F640" t="str">
        <f>F639</f>
        <v>kg C</v>
      </c>
      <c r="G640" s="32" t="str">
        <f>$B$388&amp;" * "&amp;J316</f>
        <v>bottle_carbon * bottle_PE_INC_AIR_mass_pyrolysis</v>
      </c>
      <c r="H640" s="221"/>
      <c r="I640" s="6" t="str">
        <f t="shared" ref="I640:I658" si="109">C640</f>
        <v>PE</v>
      </c>
      <c r="J640" t="s">
        <v>1754</v>
      </c>
      <c r="K640" s="33">
        <f t="shared" si="107"/>
        <v>1.2596064962847748</v>
      </c>
      <c r="L640" t="str">
        <f>L639</f>
        <v>kg C</v>
      </c>
      <c r="M640" t="str">
        <f t="shared" ref="M640:M658" si="110">J605&amp;" - "&amp;D640</f>
        <v>bottle_PE_INC_AIR_carbon_pyrolysis - bottle_PE_AIR_CC_carbon_pyrolysis</v>
      </c>
      <c r="N640" s="14"/>
    </row>
    <row r="641" spans="1:14" x14ac:dyDescent="0.2">
      <c r="A641" s="14"/>
      <c r="B641" s="221"/>
      <c r="C641" s="6" t="str">
        <f t="shared" si="106"/>
        <v>PP</v>
      </c>
      <c r="D641" t="s">
        <v>3031</v>
      </c>
      <c r="E641" s="33">
        <f t="shared" si="108"/>
        <v>0</v>
      </c>
      <c r="F641" t="str">
        <f t="shared" ref="F641:F658" si="111">F640</f>
        <v>kg C</v>
      </c>
      <c r="G641" s="32" t="str">
        <f>$B$388&amp;" * "&amp;J317</f>
        <v>bottle_carbon * bottle_PP_INC_AIR_mass_pyrolysis</v>
      </c>
      <c r="H641" s="221"/>
      <c r="I641" s="6" t="str">
        <f t="shared" si="109"/>
        <v>PP</v>
      </c>
      <c r="J641" t="s">
        <v>1755</v>
      </c>
      <c r="K641" s="33">
        <f t="shared" si="107"/>
        <v>0</v>
      </c>
      <c r="L641" t="str">
        <f t="shared" ref="L641:L658" si="112">L640</f>
        <v>kg C</v>
      </c>
      <c r="M641" t="str">
        <f t="shared" si="110"/>
        <v>bottle_PP_INC_AIR_carbon_pyrolysis - bottle_PP_AIR_CC_carbon_pyrolysis</v>
      </c>
      <c r="N641" s="14"/>
    </row>
    <row r="642" spans="1:14" x14ac:dyDescent="0.2">
      <c r="A642" s="14"/>
      <c r="B642" s="221"/>
      <c r="C642" s="6" t="str">
        <f t="shared" si="106"/>
        <v>PS</v>
      </c>
      <c r="D642" t="s">
        <v>3032</v>
      </c>
      <c r="E642" s="33">
        <f t="shared" si="108"/>
        <v>0</v>
      </c>
      <c r="F642" t="str">
        <f t="shared" si="111"/>
        <v>kg C</v>
      </c>
      <c r="G642" s="32" t="str">
        <f>$B$388&amp;" * "&amp;J318</f>
        <v>bottle_carbon * bottle_PS_INC_AIR_mass_pyrolysis</v>
      </c>
      <c r="H642" s="221"/>
      <c r="I642" s="6" t="str">
        <f t="shared" si="109"/>
        <v>PS</v>
      </c>
      <c r="J642" t="s">
        <v>1756</v>
      </c>
      <c r="K642" s="33">
        <f t="shared" si="107"/>
        <v>0</v>
      </c>
      <c r="L642" t="str">
        <f t="shared" si="112"/>
        <v>kg C</v>
      </c>
      <c r="M642" t="str">
        <f t="shared" si="110"/>
        <v>bottle_PS_INC_AIR_carbon_pyrolysis - bottle_PS_AIR_CC_carbon_pyrolysis</v>
      </c>
      <c r="N642" s="14"/>
    </row>
    <row r="643" spans="1:14" x14ac:dyDescent="0.2">
      <c r="A643" s="14"/>
      <c r="B643" s="221"/>
      <c r="C643" s="6" t="str">
        <f t="shared" si="106"/>
        <v>Other</v>
      </c>
      <c r="D643" t="s">
        <v>3033</v>
      </c>
      <c r="E643" s="33">
        <f t="shared" si="108"/>
        <v>0</v>
      </c>
      <c r="F643" t="str">
        <f t="shared" si="111"/>
        <v>kg C</v>
      </c>
      <c r="G643" s="32" t="str">
        <f>$B$388&amp;" * "&amp;J319</f>
        <v>bottle_carbon * bottle_Oth_INC_AIR_mass_pyrolysis</v>
      </c>
      <c r="H643" s="221"/>
      <c r="I643" s="6" t="str">
        <f t="shared" si="109"/>
        <v>Other</v>
      </c>
      <c r="J643" t="s">
        <v>1757</v>
      </c>
      <c r="K643" s="33">
        <f t="shared" si="107"/>
        <v>0</v>
      </c>
      <c r="L643" t="str">
        <f t="shared" si="112"/>
        <v>kg C</v>
      </c>
      <c r="M643" t="str">
        <f t="shared" si="110"/>
        <v>bottle_Oth_INC_AIR_carbon_pyrolysis - bottle_Oth_AIR_CC_carbon_pyrolysis</v>
      </c>
      <c r="N643" s="14"/>
    </row>
    <row r="644" spans="1:14" x14ac:dyDescent="0.2">
      <c r="A644" s="14"/>
      <c r="B644" s="221" t="s">
        <v>15</v>
      </c>
      <c r="C644" s="6" t="str">
        <f t="shared" si="106"/>
        <v>PET</v>
      </c>
      <c r="D644" t="s">
        <v>3034</v>
      </c>
      <c r="E644" s="33">
        <f t="shared" si="108"/>
        <v>6.4744483399200004</v>
      </c>
      <c r="F644" t="str">
        <f t="shared" si="111"/>
        <v>kg C</v>
      </c>
      <c r="G644" s="32" t="str">
        <f>$B$389&amp;" * "&amp;J320</f>
        <v>rigid_carbon * rigid_PET_INC_AIR_mass_pyrolysis</v>
      </c>
      <c r="H644" s="221" t="s">
        <v>15</v>
      </c>
      <c r="I644" s="6" t="str">
        <f t="shared" si="109"/>
        <v>PET</v>
      </c>
      <c r="J644" t="s">
        <v>1758</v>
      </c>
      <c r="K644" s="33">
        <f t="shared" si="107"/>
        <v>0.71938314887999955</v>
      </c>
      <c r="L644" t="str">
        <f t="shared" si="112"/>
        <v>kg C</v>
      </c>
      <c r="M644" t="str">
        <f t="shared" si="110"/>
        <v>rigid_PET_INC_AIR_carbon_pyrolysis - rigid_PET_AIR_CC_carbon_pyrolysis</v>
      </c>
      <c r="N644" s="14"/>
    </row>
    <row r="645" spans="1:14" x14ac:dyDescent="0.2">
      <c r="A645" s="14"/>
      <c r="B645" s="221"/>
      <c r="C645" s="6" t="str">
        <f t="shared" si="106"/>
        <v>PE</v>
      </c>
      <c r="D645" t="s">
        <v>3035</v>
      </c>
      <c r="E645" s="33">
        <f t="shared" si="108"/>
        <v>5.4394983149991241</v>
      </c>
      <c r="F645" t="str">
        <f>F644</f>
        <v>kg C</v>
      </c>
      <c r="G645" s="32" t="str">
        <f>$B$389&amp;" * "&amp;J321</f>
        <v>rigid_carbon * rigid_PE_INC_AIR_mass_pyrolysis</v>
      </c>
      <c r="H645" s="221"/>
      <c r="I645" s="6" t="str">
        <f t="shared" si="109"/>
        <v>PE</v>
      </c>
      <c r="J645" t="s">
        <v>1759</v>
      </c>
      <c r="K645" s="33">
        <f t="shared" si="107"/>
        <v>0.60438870166656944</v>
      </c>
      <c r="L645" t="str">
        <f>L644</f>
        <v>kg C</v>
      </c>
      <c r="M645" t="str">
        <f t="shared" si="110"/>
        <v>rigid_PE_INC_AIR_carbon_pyrolysis - rigid_PE_AIR_CC_carbon_pyrolysis</v>
      </c>
      <c r="N645" s="14"/>
    </row>
    <row r="646" spans="1:14" x14ac:dyDescent="0.2">
      <c r="A646" s="14"/>
      <c r="B646" s="221"/>
      <c r="C646" s="6" t="str">
        <f t="shared" si="106"/>
        <v>PP</v>
      </c>
      <c r="D646" t="s">
        <v>3036</v>
      </c>
      <c r="E646" s="33">
        <f t="shared" si="108"/>
        <v>14.735789356869509</v>
      </c>
      <c r="F646" t="str">
        <f t="shared" si="111"/>
        <v>kg C</v>
      </c>
      <c r="G646" s="32" t="str">
        <f>$B$389&amp;" * "&amp;J322</f>
        <v>rigid_carbon * rigid_PP_INC_AIR_mass_pyrolysis</v>
      </c>
      <c r="H646" s="221"/>
      <c r="I646" s="6" t="str">
        <f t="shared" si="109"/>
        <v>PP</v>
      </c>
      <c r="J646" t="s">
        <v>1760</v>
      </c>
      <c r="K646" s="33">
        <f t="shared" si="107"/>
        <v>1.6373099285410557</v>
      </c>
      <c r="L646" t="str">
        <f t="shared" si="112"/>
        <v>kg C</v>
      </c>
      <c r="M646" t="str">
        <f t="shared" si="110"/>
        <v>rigid_PP_INC_AIR_carbon_pyrolysis - rigid_PP_AIR_CC_carbon_pyrolysis</v>
      </c>
      <c r="N646" s="14"/>
    </row>
    <row r="647" spans="1:14" x14ac:dyDescent="0.2">
      <c r="A647" s="14"/>
      <c r="B647" s="221"/>
      <c r="C647" s="6" t="str">
        <f t="shared" si="106"/>
        <v>PS</v>
      </c>
      <c r="D647" t="s">
        <v>3037</v>
      </c>
      <c r="E647" s="33">
        <f t="shared" si="108"/>
        <v>1.6959983154090768</v>
      </c>
      <c r="F647" t="str">
        <f t="shared" si="111"/>
        <v>kg C</v>
      </c>
      <c r="G647" s="32" t="str">
        <f>$B$389&amp;" * "&amp;J323</f>
        <v>rigid_carbon * rigid_PS_INC_AIR_mass_pyrolysis</v>
      </c>
      <c r="H647" s="221"/>
      <c r="I647" s="6" t="str">
        <f t="shared" si="109"/>
        <v>PS</v>
      </c>
      <c r="J647" t="s">
        <v>1761</v>
      </c>
      <c r="K647" s="33">
        <f t="shared" si="107"/>
        <v>0.18844425726767522</v>
      </c>
      <c r="L647" t="str">
        <f t="shared" si="112"/>
        <v>kg C</v>
      </c>
      <c r="M647" t="str">
        <f t="shared" si="110"/>
        <v>rigid_PS_INC_AIR_carbon_pyrolysis - rigid_PS_AIR_CC_carbon_pyrolysis</v>
      </c>
      <c r="N647" s="14"/>
    </row>
    <row r="648" spans="1:14" x14ac:dyDescent="0.2">
      <c r="A648" s="14"/>
      <c r="B648" s="221"/>
      <c r="C648" s="6" t="str">
        <f t="shared" si="106"/>
        <v>Other</v>
      </c>
      <c r="D648" t="s">
        <v>3038</v>
      </c>
      <c r="E648" s="33">
        <f t="shared" si="108"/>
        <v>8.4799915770453822</v>
      </c>
      <c r="F648" t="str">
        <f t="shared" si="111"/>
        <v>kg C</v>
      </c>
      <c r="G648" s="32" t="str">
        <f>$B$389&amp;" * "&amp;J324</f>
        <v>rigid_carbon * rigid_Oth_INC_AIR_mass_pyrolysis</v>
      </c>
      <c r="H648" s="221"/>
      <c r="I648" s="6" t="str">
        <f t="shared" si="109"/>
        <v>Other</v>
      </c>
      <c r="J648" t="s">
        <v>1762</v>
      </c>
      <c r="K648" s="33">
        <f t="shared" si="107"/>
        <v>0.94222128633837521</v>
      </c>
      <c r="L648" t="str">
        <f t="shared" si="112"/>
        <v>kg C</v>
      </c>
      <c r="M648" t="str">
        <f t="shared" si="110"/>
        <v>rigid_Oth_INC_AIR_carbon_pyrolysis - rigid_Oth_AIR_CC_carbon_pyrolysis</v>
      </c>
      <c r="N648" s="14"/>
    </row>
    <row r="649" spans="1:14" x14ac:dyDescent="0.2">
      <c r="A649" s="14"/>
      <c r="B649" s="221" t="s">
        <v>42</v>
      </c>
      <c r="C649" s="6" t="str">
        <f t="shared" si="106"/>
        <v>PET</v>
      </c>
      <c r="D649" t="s">
        <v>3039</v>
      </c>
      <c r="E649" s="33">
        <f t="shared" si="108"/>
        <v>0</v>
      </c>
      <c r="F649" t="str">
        <f t="shared" si="111"/>
        <v>kg C</v>
      </c>
      <c r="G649" s="32" t="str">
        <f>$B$390&amp;" * "&amp;J325</f>
        <v>soft_carbon * soft_PET_INC_AIR_mass_pyrolysis</v>
      </c>
      <c r="H649" s="221" t="s">
        <v>42</v>
      </c>
      <c r="I649" s="6" t="str">
        <f t="shared" si="109"/>
        <v>PET</v>
      </c>
      <c r="J649" t="s">
        <v>1763</v>
      </c>
      <c r="K649" s="33">
        <f t="shared" si="107"/>
        <v>0</v>
      </c>
      <c r="L649" t="str">
        <f t="shared" si="112"/>
        <v>kg C</v>
      </c>
      <c r="M649" t="str">
        <f t="shared" si="110"/>
        <v>soft_PET_INC_AIR_carbon_pyrolysis - soft_PET_AIR_CC_carbon_pyrolysis</v>
      </c>
      <c r="N649" s="14"/>
    </row>
    <row r="650" spans="1:14" x14ac:dyDescent="0.2">
      <c r="A650" s="14"/>
      <c r="B650" s="221"/>
      <c r="C650" s="6" t="str">
        <f t="shared" si="106"/>
        <v>PE</v>
      </c>
      <c r="D650" t="s">
        <v>3040</v>
      </c>
      <c r="E650" s="33">
        <f t="shared" si="108"/>
        <v>63.95820281266203</v>
      </c>
      <c r="F650" t="str">
        <f t="shared" si="111"/>
        <v>kg C</v>
      </c>
      <c r="G650" s="32" t="str">
        <f>$B$390&amp;" * "&amp;J326</f>
        <v>soft_carbon * soft_PE_INC_AIR_mass_pyrolysis</v>
      </c>
      <c r="H650" s="221"/>
      <c r="I650" s="6" t="str">
        <f t="shared" si="109"/>
        <v>PE</v>
      </c>
      <c r="J650" t="s">
        <v>1764</v>
      </c>
      <c r="K650" s="33">
        <f t="shared" si="107"/>
        <v>7.1064669791846669</v>
      </c>
      <c r="L650" t="str">
        <f t="shared" si="112"/>
        <v>kg C</v>
      </c>
      <c r="M650" t="str">
        <f t="shared" si="110"/>
        <v>soft_PE_INC_AIR_carbon_pyrolysis - soft_PE_AIR_CC_carbon_pyrolysis</v>
      </c>
      <c r="N650" s="14"/>
    </row>
    <row r="651" spans="1:14" x14ac:dyDescent="0.2">
      <c r="A651" s="14"/>
      <c r="B651" s="221"/>
      <c r="C651" s="6" t="str">
        <f t="shared" si="106"/>
        <v>PP</v>
      </c>
      <c r="D651" t="s">
        <v>3041</v>
      </c>
      <c r="E651" s="33">
        <f t="shared" si="108"/>
        <v>0</v>
      </c>
      <c r="F651" t="str">
        <f t="shared" si="111"/>
        <v>kg C</v>
      </c>
      <c r="G651" s="32" t="str">
        <f>$B$390&amp;" * "&amp;J327</f>
        <v>soft_carbon * soft_PP_INC_AIR_mass_pyrolysis</v>
      </c>
      <c r="H651" s="221"/>
      <c r="I651" s="6" t="str">
        <f t="shared" si="109"/>
        <v>PP</v>
      </c>
      <c r="J651" t="s">
        <v>1765</v>
      </c>
      <c r="K651" s="33">
        <f t="shared" si="107"/>
        <v>0</v>
      </c>
      <c r="L651" t="str">
        <f t="shared" si="112"/>
        <v>kg C</v>
      </c>
      <c r="M651" t="str">
        <f t="shared" si="110"/>
        <v>soft_PP_INC_AIR_carbon_pyrolysis - soft_PP_AIR_CC_carbon_pyrolysis</v>
      </c>
      <c r="N651" s="14"/>
    </row>
    <row r="652" spans="1:14" x14ac:dyDescent="0.2">
      <c r="A652" s="14"/>
      <c r="B652" s="221"/>
      <c r="C652" s="6" t="str">
        <f t="shared" si="106"/>
        <v>PS</v>
      </c>
      <c r="D652" t="s">
        <v>3042</v>
      </c>
      <c r="E652" s="33">
        <f t="shared" si="108"/>
        <v>0</v>
      </c>
      <c r="F652" t="str">
        <f t="shared" si="111"/>
        <v>kg C</v>
      </c>
      <c r="G652" s="32" t="str">
        <f>$B$390&amp;" * "&amp;J328</f>
        <v>soft_carbon * soft_PS_INC_AIR_mass_pyrolysis</v>
      </c>
      <c r="H652" s="221"/>
      <c r="I652" s="6" t="str">
        <f t="shared" si="109"/>
        <v>PS</v>
      </c>
      <c r="J652" t="s">
        <v>1766</v>
      </c>
      <c r="K652" s="33">
        <f t="shared" si="107"/>
        <v>0</v>
      </c>
      <c r="L652" t="str">
        <f t="shared" si="112"/>
        <v>kg C</v>
      </c>
      <c r="M652" t="str">
        <f t="shared" si="110"/>
        <v>soft_PS_INC_AIR_carbon_pyrolysis - soft_PS_AIR_CC_carbon_pyrolysis</v>
      </c>
      <c r="N652" s="14"/>
    </row>
    <row r="653" spans="1:14" x14ac:dyDescent="0.2">
      <c r="A653" s="14"/>
      <c r="B653" s="221"/>
      <c r="C653" s="6" t="str">
        <f t="shared" si="106"/>
        <v>Other</v>
      </c>
      <c r="D653" t="s">
        <v>3043</v>
      </c>
      <c r="E653" s="33">
        <f t="shared" si="108"/>
        <v>15.445987963687859</v>
      </c>
      <c r="F653" t="str">
        <f t="shared" si="111"/>
        <v>kg C</v>
      </c>
      <c r="G653" s="32" t="str">
        <f>$B$390&amp;" * "&amp;J329</f>
        <v>soft_carbon * soft_Oth_INC_AIR_mass_pyrolysis</v>
      </c>
      <c r="H653" s="221"/>
      <c r="I653" s="6" t="str">
        <f t="shared" si="109"/>
        <v>Other</v>
      </c>
      <c r="J653" t="s">
        <v>1767</v>
      </c>
      <c r="K653" s="33">
        <f t="shared" si="107"/>
        <v>1.7162208848542058</v>
      </c>
      <c r="L653" t="str">
        <f t="shared" si="112"/>
        <v>kg C</v>
      </c>
      <c r="M653" t="str">
        <f t="shared" si="110"/>
        <v>soft_Oth_INC_AIR_carbon_pyrolysis - soft_Oth_AIR_CC_carbon_pyrolysis</v>
      </c>
      <c r="N653" s="14"/>
    </row>
    <row r="654" spans="1:14" x14ac:dyDescent="0.2">
      <c r="A654" s="14"/>
      <c r="B654" s="221" t="s">
        <v>19</v>
      </c>
      <c r="C654" s="6" t="str">
        <f t="shared" si="106"/>
        <v>PET</v>
      </c>
      <c r="D654" t="s">
        <v>3044</v>
      </c>
      <c r="E654" s="33">
        <f t="shared" si="108"/>
        <v>0</v>
      </c>
      <c r="F654" t="str">
        <f t="shared" si="111"/>
        <v>kg C</v>
      </c>
      <c r="G654" s="32" t="str">
        <f>$B$391&amp;" * "&amp;J330</f>
        <v>nonrec_carbon * other_PET_INC_AIR_mass_pyrolysis</v>
      </c>
      <c r="H654" s="221" t="s">
        <v>19</v>
      </c>
      <c r="I654" s="6" t="str">
        <f t="shared" si="109"/>
        <v>PET</v>
      </c>
      <c r="J654" t="s">
        <v>1768</v>
      </c>
      <c r="K654" s="33">
        <f t="shared" si="107"/>
        <v>0</v>
      </c>
      <c r="L654" t="str">
        <f t="shared" si="112"/>
        <v>kg C</v>
      </c>
      <c r="M654" t="str">
        <f t="shared" si="110"/>
        <v>other_PET_INC_AIR_carbon_pyrolysis - other_PET_AIR_CC_carbon_pyrolysis</v>
      </c>
      <c r="N654" s="14"/>
    </row>
    <row r="655" spans="1:14" x14ac:dyDescent="0.2">
      <c r="A655" s="14"/>
      <c r="B655" s="221"/>
      <c r="C655" s="6" t="str">
        <f t="shared" si="106"/>
        <v>PE</v>
      </c>
      <c r="D655" t="s">
        <v>3045</v>
      </c>
      <c r="E655" s="33">
        <f t="shared" si="108"/>
        <v>0</v>
      </c>
      <c r="F655" t="str">
        <f t="shared" si="111"/>
        <v>kg C</v>
      </c>
      <c r="G655" s="32" t="str">
        <f>$B$391&amp;" * "&amp;J331</f>
        <v>nonrec_carbon * other_PE_INC_AIR_mass_pyrolysis</v>
      </c>
      <c r="H655" s="221"/>
      <c r="I655" s="6" t="str">
        <f t="shared" si="109"/>
        <v>PE</v>
      </c>
      <c r="J655" t="s">
        <v>1769</v>
      </c>
      <c r="K655" s="33">
        <f t="shared" si="107"/>
        <v>0</v>
      </c>
      <c r="L655" t="str">
        <f t="shared" si="112"/>
        <v>kg C</v>
      </c>
      <c r="M655" t="str">
        <f t="shared" si="110"/>
        <v>other_PE_INC_AIR_carbon_pyrolysis - other_PE_AIR_CC_carbon_pyrolysis</v>
      </c>
      <c r="N655" s="14"/>
    </row>
    <row r="656" spans="1:14" x14ac:dyDescent="0.2">
      <c r="A656" s="14"/>
      <c r="B656" s="221"/>
      <c r="C656" s="6" t="str">
        <f t="shared" si="106"/>
        <v>PP</v>
      </c>
      <c r="D656" t="s">
        <v>3046</v>
      </c>
      <c r="E656" s="33">
        <f t="shared" si="108"/>
        <v>0</v>
      </c>
      <c r="F656" t="str">
        <f t="shared" si="111"/>
        <v>kg C</v>
      </c>
      <c r="G656" s="32" t="str">
        <f>$B$391&amp;" * "&amp;J332</f>
        <v>nonrec_carbon * other_PP_INC_AIR_mass_pyrolysis</v>
      </c>
      <c r="H656" s="221"/>
      <c r="I656" s="6" t="str">
        <f t="shared" si="109"/>
        <v>PP</v>
      </c>
      <c r="J656" t="s">
        <v>1770</v>
      </c>
      <c r="K656" s="33">
        <f t="shared" si="107"/>
        <v>0</v>
      </c>
      <c r="L656" t="str">
        <f t="shared" si="112"/>
        <v>kg C</v>
      </c>
      <c r="M656" t="str">
        <f t="shared" si="110"/>
        <v>other_PP_INC_AIR_carbon_pyrolysis - other_PP_AIR_CC_carbon_pyrolysis</v>
      </c>
      <c r="N656" s="14"/>
    </row>
    <row r="657" spans="1:14" x14ac:dyDescent="0.2">
      <c r="A657" s="14"/>
      <c r="B657" s="221"/>
      <c r="C657" s="6" t="str">
        <f t="shared" si="106"/>
        <v>PS</v>
      </c>
      <c r="D657" t="s">
        <v>3047</v>
      </c>
      <c r="E657" s="33">
        <f t="shared" si="108"/>
        <v>0</v>
      </c>
      <c r="F657" t="str">
        <f t="shared" si="111"/>
        <v>kg C</v>
      </c>
      <c r="G657" s="32" t="str">
        <f>$B$391&amp;" * "&amp;J333</f>
        <v>nonrec_carbon * other_PS_INC_AIR_mass_pyrolysis</v>
      </c>
      <c r="H657" s="221"/>
      <c r="I657" s="6" t="str">
        <f t="shared" si="109"/>
        <v>PS</v>
      </c>
      <c r="J657" t="s">
        <v>1771</v>
      </c>
      <c r="K657" s="33">
        <f t="shared" si="107"/>
        <v>0</v>
      </c>
      <c r="L657" t="str">
        <f t="shared" si="112"/>
        <v>kg C</v>
      </c>
      <c r="M657" t="str">
        <f t="shared" si="110"/>
        <v>other_PS_INC_AIR_carbon_pyrolysis - other_PS_AIR_CC_carbon_pyrolysis</v>
      </c>
      <c r="N657" s="14"/>
    </row>
    <row r="658" spans="1:14" x14ac:dyDescent="0.2">
      <c r="A658" s="14"/>
      <c r="B658" s="231"/>
      <c r="C658" s="60" t="str">
        <f t="shared" si="106"/>
        <v>Other</v>
      </c>
      <c r="D658" s="44" t="s">
        <v>3048</v>
      </c>
      <c r="E658" s="62">
        <f t="shared" si="108"/>
        <v>59.028659999999952</v>
      </c>
      <c r="F658" s="44" t="str">
        <f t="shared" si="111"/>
        <v>kg C</v>
      </c>
      <c r="G658" s="32" t="str">
        <f>$B$391&amp;" * "&amp;J334</f>
        <v>nonrec_carbon * other_Oth_INC_AIR_mass_pyrolysis</v>
      </c>
      <c r="H658" s="221"/>
      <c r="I658" s="6" t="str">
        <f t="shared" si="109"/>
        <v>Other</v>
      </c>
      <c r="J658" t="s">
        <v>1772</v>
      </c>
      <c r="K658" s="33">
        <f t="shared" si="107"/>
        <v>6.5587399999999931</v>
      </c>
      <c r="L658" t="str">
        <f t="shared" si="112"/>
        <v>kg C</v>
      </c>
      <c r="M658" t="str">
        <f t="shared" si="110"/>
        <v>other_Oth_INC_AIR_carbon_pyrolysis - other_Oth_AIR_CC_carbon_pyrolysis</v>
      </c>
      <c r="N658" s="14"/>
    </row>
    <row r="659" spans="1:14" ht="25" customHeight="1" x14ac:dyDescent="0.2">
      <c r="A659" s="14"/>
      <c r="B659" s="214" t="s">
        <v>3023</v>
      </c>
      <c r="C659" s="214"/>
      <c r="D659" s="214"/>
      <c r="E659" s="214"/>
      <c r="F659" s="214"/>
      <c r="G659" s="214"/>
      <c r="H659" s="214"/>
      <c r="I659" s="214"/>
      <c r="J659" s="214"/>
      <c r="K659" s="214"/>
      <c r="L659" s="214"/>
      <c r="M659" s="214"/>
      <c r="N659" s="14"/>
    </row>
    <row r="660" spans="1:14" x14ac:dyDescent="0.2">
      <c r="A660" s="14"/>
      <c r="B660" s="2" t="str">
        <f>B625</f>
        <v>Patameter</v>
      </c>
      <c r="C660" s="2" t="str">
        <f>C625</f>
        <v>Value</v>
      </c>
      <c r="D660" s="2" t="str">
        <f>D625</f>
        <v>Unit</v>
      </c>
      <c r="E660" s="2" t="str">
        <f>E625</f>
        <v>Description</v>
      </c>
      <c r="F660" s="2"/>
      <c r="G660" s="1"/>
      <c r="H660" s="2" t="str">
        <f>B660</f>
        <v>Patameter</v>
      </c>
      <c r="I660" s="2" t="str">
        <f>C660</f>
        <v>Value</v>
      </c>
      <c r="J660" s="2" t="str">
        <f>D660</f>
        <v>Unit</v>
      </c>
      <c r="K660" s="2" t="str">
        <f>E660</f>
        <v>Description</v>
      </c>
      <c r="L660" s="2"/>
      <c r="M660" s="2"/>
      <c r="N660" s="14"/>
    </row>
    <row r="661" spans="1:14" x14ac:dyDescent="0.2">
      <c r="A661" s="14"/>
      <c r="B661" t="s">
        <v>3049</v>
      </c>
      <c r="C661" s="33">
        <f>SUM(E639:E643)</f>
        <v>44.588045948802971</v>
      </c>
      <c r="D661" t="s">
        <v>96</v>
      </c>
      <c r="E661" t="s">
        <v>2948</v>
      </c>
      <c r="G661" s="32"/>
      <c r="H661" t="s">
        <v>1773</v>
      </c>
      <c r="I661" s="33">
        <f>SUM(K639:K643)</f>
        <v>4.954227327644773</v>
      </c>
      <c r="J661" t="s">
        <v>96</v>
      </c>
      <c r="K661" t="s">
        <v>1101</v>
      </c>
      <c r="N661" s="14"/>
    </row>
    <row r="662" spans="1:14" x14ac:dyDescent="0.2">
      <c r="A662" s="14"/>
      <c r="B662" t="s">
        <v>3050</v>
      </c>
      <c r="C662" s="33">
        <f>SUM(E644:E648)</f>
        <v>36.825725904243093</v>
      </c>
      <c r="D662" t="str">
        <f>D661</f>
        <v>kg C</v>
      </c>
      <c r="E662" t="s">
        <v>2949</v>
      </c>
      <c r="G662" s="32"/>
      <c r="H662" t="s">
        <v>1774</v>
      </c>
      <c r="I662">
        <f>SUM(K644:K648)</f>
        <v>4.0917473226936751</v>
      </c>
      <c r="J662" t="str">
        <f>J661</f>
        <v>kg C</v>
      </c>
      <c r="K662" t="s">
        <v>1102</v>
      </c>
      <c r="N662" s="14"/>
    </row>
    <row r="663" spans="1:14" x14ac:dyDescent="0.2">
      <c r="A663" s="14"/>
      <c r="B663" t="s">
        <v>3051</v>
      </c>
      <c r="C663" s="33">
        <f>SUM(E649:E653)</f>
        <v>79.404190776349893</v>
      </c>
      <c r="D663" t="str">
        <f t="shared" ref="D663" si="113">D662</f>
        <v>kg C</v>
      </c>
      <c r="E663" t="s">
        <v>2950</v>
      </c>
      <c r="G663" s="32"/>
      <c r="H663" t="s">
        <v>1775</v>
      </c>
      <c r="I663">
        <f>SUM(K649:K653)</f>
        <v>8.8226878640388726</v>
      </c>
      <c r="J663" t="str">
        <f t="shared" ref="J663" si="114">J662</f>
        <v>kg C</v>
      </c>
      <c r="K663" t="s">
        <v>1103</v>
      </c>
      <c r="N663" s="14"/>
    </row>
    <row r="664" spans="1:14" ht="16" thickBot="1" x14ac:dyDescent="0.25">
      <c r="A664" s="14"/>
      <c r="B664" s="8" t="s">
        <v>3052</v>
      </c>
      <c r="C664" s="34">
        <f>SUM(E654:E658)</f>
        <v>59.028659999999952</v>
      </c>
      <c r="D664" s="8" t="str">
        <f>D663</f>
        <v>kg C</v>
      </c>
      <c r="E664" s="8" t="s">
        <v>2951</v>
      </c>
      <c r="F664" s="8"/>
      <c r="G664" s="87"/>
      <c r="H664" s="8" t="s">
        <v>1776</v>
      </c>
      <c r="I664" s="8">
        <f>SUM(K654:K658)</f>
        <v>6.5587399999999931</v>
      </c>
      <c r="J664" s="8" t="s">
        <v>96</v>
      </c>
      <c r="K664" s="8" t="s">
        <v>1104</v>
      </c>
      <c r="L664" s="8"/>
      <c r="M664" s="8"/>
      <c r="N664" s="14"/>
    </row>
    <row r="665" spans="1:14" ht="16" thickTop="1" x14ac:dyDescent="0.2">
      <c r="A665" s="14"/>
      <c r="B665" s="44" t="s">
        <v>3053</v>
      </c>
      <c r="C665" s="62">
        <f>SUM(C661:C664)</f>
        <v>219.84662262939588</v>
      </c>
      <c r="D665" s="44" t="str">
        <f>D663</f>
        <v>kg C</v>
      </c>
      <c r="E665" s="44" t="s">
        <v>3054</v>
      </c>
      <c r="F665" s="44"/>
      <c r="G665" s="61"/>
      <c r="H665" s="44" t="s">
        <v>1777</v>
      </c>
      <c r="I665" s="62">
        <f>SUM(I661:I664)</f>
        <v>24.427402514377313</v>
      </c>
      <c r="J665" s="44" t="str">
        <f>J663</f>
        <v>kg C</v>
      </c>
      <c r="K665" s="44" t="s">
        <v>2573</v>
      </c>
      <c r="L665" s="44"/>
      <c r="M665" s="44"/>
      <c r="N665" s="14"/>
    </row>
    <row r="666" spans="1:14" x14ac:dyDescent="0.2">
      <c r="A666" s="14"/>
      <c r="B666" s="145" t="s">
        <v>2704</v>
      </c>
      <c r="C666" s="138" t="str">
        <f>IF(C665+I665=I630,"true")</f>
        <v>true</v>
      </c>
      <c r="D666" s="125"/>
      <c r="E666" s="126"/>
      <c r="F666" s="125"/>
      <c r="G666" s="125"/>
      <c r="H666" s="145"/>
      <c r="I666" s="138"/>
      <c r="J666" s="125"/>
      <c r="K666" s="126"/>
      <c r="L666" s="125"/>
      <c r="M666" s="125"/>
      <c r="N666" s="14"/>
    </row>
    <row r="667" spans="1:14" x14ac:dyDescent="0.2">
      <c r="A667" s="14"/>
      <c r="B667" s="95"/>
      <c r="C667" s="96"/>
      <c r="D667" s="14"/>
      <c r="E667" s="71"/>
      <c r="F667" s="14"/>
      <c r="G667" s="148"/>
      <c r="H667" s="95"/>
      <c r="I667" s="96"/>
      <c r="J667" s="14"/>
      <c r="K667" s="71"/>
      <c r="L667" s="14"/>
      <c r="M667" s="14"/>
      <c r="N667" s="14"/>
    </row>
    <row r="668" spans="1:14" x14ac:dyDescent="0.2">
      <c r="A668" s="14"/>
      <c r="B668" s="95"/>
      <c r="C668" s="96"/>
      <c r="D668" s="14"/>
      <c r="E668" s="71"/>
      <c r="F668" s="14"/>
      <c r="G668" s="14"/>
      <c r="H668" s="95"/>
      <c r="I668" s="96"/>
      <c r="J668" s="14"/>
      <c r="K668" s="71"/>
      <c r="L668" s="14"/>
      <c r="M668" s="14"/>
      <c r="N668" s="14"/>
    </row>
    <row r="669" spans="1:14" x14ac:dyDescent="0.2">
      <c r="A669" s="14"/>
      <c r="B669" s="14"/>
      <c r="C669" s="14"/>
      <c r="D669" s="14"/>
      <c r="E669" s="14"/>
      <c r="F669" s="14"/>
      <c r="G669" s="14"/>
      <c r="H669" s="14"/>
      <c r="I669" s="14"/>
      <c r="J669" s="14"/>
      <c r="K669" s="14"/>
      <c r="L669" s="14"/>
      <c r="M669" s="14"/>
      <c r="N669" s="14"/>
    </row>
    <row r="670" spans="1:14" x14ac:dyDescent="0.2">
      <c r="A670" s="77"/>
      <c r="B670" s="77"/>
      <c r="C670" s="77"/>
      <c r="D670" s="77"/>
      <c r="E670" s="77"/>
      <c r="F670" s="77"/>
      <c r="G670" s="77"/>
      <c r="H670" s="77"/>
      <c r="I670" s="77"/>
      <c r="J670" s="77"/>
      <c r="K670" s="77"/>
      <c r="L670" s="77"/>
      <c r="M670" s="77"/>
      <c r="N670" s="77"/>
    </row>
    <row r="671" spans="1:14" ht="26" x14ac:dyDescent="0.3">
      <c r="A671" s="51"/>
      <c r="B671" s="217" t="s">
        <v>120</v>
      </c>
      <c r="C671" s="217"/>
      <c r="D671" s="217"/>
      <c r="E671" s="217"/>
      <c r="F671" s="217"/>
      <c r="G671" s="217"/>
      <c r="H671" s="217"/>
      <c r="I671" s="217"/>
      <c r="J671" s="217"/>
      <c r="K671" s="217"/>
      <c r="L671" s="217"/>
      <c r="M671" s="217"/>
      <c r="N671" s="52"/>
    </row>
    <row r="672" spans="1:14" x14ac:dyDescent="0.2">
      <c r="A672" s="19"/>
      <c r="B672" s="19"/>
      <c r="C672" s="19"/>
      <c r="D672" s="19"/>
      <c r="E672" s="19"/>
      <c r="F672" s="19"/>
      <c r="G672" s="19"/>
      <c r="H672" s="19"/>
      <c r="I672" s="19"/>
      <c r="J672" s="19"/>
      <c r="K672" s="19"/>
      <c r="L672" s="19"/>
      <c r="M672" s="19"/>
      <c r="N672" s="19"/>
    </row>
    <row r="673" spans="1:14" ht="25" customHeight="1" x14ac:dyDescent="0.2">
      <c r="A673" s="19"/>
      <c r="B673" s="214" t="s">
        <v>1</v>
      </c>
      <c r="C673" s="214"/>
      <c r="D673" s="214"/>
      <c r="E673" s="214"/>
      <c r="F673" s="214"/>
      <c r="G673" s="214"/>
      <c r="H673" s="214"/>
      <c r="I673" s="214"/>
      <c r="J673" s="214"/>
      <c r="K673" s="214"/>
      <c r="L673" s="214"/>
      <c r="M673" s="214"/>
      <c r="N673" s="19"/>
    </row>
    <row r="674" spans="1:14" x14ac:dyDescent="0.2">
      <c r="A674" s="19"/>
      <c r="B674" s="114" t="s">
        <v>2</v>
      </c>
      <c r="C674" s="114" t="s">
        <v>3</v>
      </c>
      <c r="D674" s="114" t="s">
        <v>4</v>
      </c>
      <c r="E674" s="114" t="s">
        <v>5</v>
      </c>
      <c r="F674" s="114" t="s">
        <v>6</v>
      </c>
      <c r="G674" s="114" t="s">
        <v>7</v>
      </c>
      <c r="H674" s="114" t="s">
        <v>112</v>
      </c>
      <c r="I674" s="106"/>
      <c r="J674" s="106"/>
      <c r="K674" s="106"/>
      <c r="L674" s="106"/>
      <c r="M674" s="106"/>
      <c r="N674" s="19"/>
    </row>
    <row r="675" spans="1:14" x14ac:dyDescent="0.2">
      <c r="A675" s="19"/>
      <c r="B675" s="106" t="str">
        <f>'info, structure, parameters'!A209</f>
        <v>bottle_energy</v>
      </c>
      <c r="C675" s="106">
        <f>'info, structure, parameters'!B209</f>
        <v>32.703299999999999</v>
      </c>
      <c r="D675" s="106" t="str">
        <f>'info, structure, parameters'!C209</f>
        <v>MJ</v>
      </c>
      <c r="E675" s="106">
        <f>'info, structure, parameters'!D209</f>
        <v>32.703299999999999</v>
      </c>
      <c r="F675" s="106">
        <f>'info, structure, parameters'!E209</f>
        <v>32.703299999999999</v>
      </c>
      <c r="G675" s="106" t="str">
        <f>'info, structure, parameters'!F209</f>
        <v>Amount of energy contained in 1 kg of plastic bottle waste</v>
      </c>
      <c r="H675" s="106">
        <f>'info, structure, parameters'!G209</f>
        <v>3</v>
      </c>
      <c r="I675" s="106"/>
      <c r="J675" s="106"/>
      <c r="K675" s="106"/>
      <c r="L675" s="106"/>
      <c r="M675" s="106"/>
      <c r="N675" s="19"/>
    </row>
    <row r="676" spans="1:14" x14ac:dyDescent="0.2">
      <c r="A676" s="19"/>
      <c r="B676" s="106" t="str">
        <f>'info, structure, parameters'!A210</f>
        <v>rigid_energy</v>
      </c>
      <c r="C676" s="106">
        <f>'info, structure, parameters'!B210</f>
        <v>36.212879999999998</v>
      </c>
      <c r="D676" s="106" t="str">
        <f>'info, structure, parameters'!C210</f>
        <v>MJ</v>
      </c>
      <c r="E676" s="106">
        <f>'info, structure, parameters'!D210</f>
        <v>36.212879999999998</v>
      </c>
      <c r="F676" s="106">
        <f>'info, structure, parameters'!E210</f>
        <v>36.212879999999998</v>
      </c>
      <c r="G676" s="106" t="str">
        <f>'info, structure, parameters'!F210</f>
        <v>Amount of energy contained in 1 kg of rigid plastic waste</v>
      </c>
      <c r="H676" s="106">
        <f>'info, structure, parameters'!G210</f>
        <v>3</v>
      </c>
      <c r="I676" s="106"/>
      <c r="J676" s="106"/>
      <c r="K676" s="106"/>
      <c r="L676" s="106"/>
      <c r="M676" s="106"/>
      <c r="N676" s="19"/>
    </row>
    <row r="677" spans="1:14" x14ac:dyDescent="0.2">
      <c r="A677" s="19"/>
      <c r="B677" s="106" t="str">
        <f>'info, structure, parameters'!A211</f>
        <v>soft_energy</v>
      </c>
      <c r="C677" s="106">
        <f>'info, structure, parameters'!B211</f>
        <v>34.407533999999998</v>
      </c>
      <c r="D677" s="106" t="str">
        <f>'info, structure, parameters'!C211</f>
        <v>MJ</v>
      </c>
      <c r="E677" s="106">
        <f>'info, structure, parameters'!D211</f>
        <v>34.407533999999998</v>
      </c>
      <c r="F677" s="106">
        <f>'info, structure, parameters'!E211</f>
        <v>34.407533999999998</v>
      </c>
      <c r="G677" s="106" t="str">
        <f>'info, structure, parameters'!F211</f>
        <v>Amount of energy contained in 1 kg of soft plastic waste</v>
      </c>
      <c r="H677" s="106">
        <f>'info, structure, parameters'!G211</f>
        <v>3</v>
      </c>
      <c r="I677" s="106"/>
      <c r="J677" s="106"/>
      <c r="K677" s="106"/>
      <c r="L677" s="106"/>
      <c r="M677" s="106"/>
      <c r="N677" s="19"/>
    </row>
    <row r="678" spans="1:14" x14ac:dyDescent="0.2">
      <c r="A678" s="19"/>
      <c r="B678" s="106" t="str">
        <f>'info, structure, parameters'!A212</f>
        <v>nonrec_energy</v>
      </c>
      <c r="C678" s="106">
        <f>'info, structure, parameters'!B212</f>
        <v>29.690840000000001</v>
      </c>
      <c r="D678" s="106" t="str">
        <f>'info, structure, parameters'!C212</f>
        <v>MJ</v>
      </c>
      <c r="E678" s="106">
        <f>'info, structure, parameters'!D212</f>
        <v>29.690840000000001</v>
      </c>
      <c r="F678" s="106">
        <f>'info, structure, parameters'!E212</f>
        <v>29.690840000000001</v>
      </c>
      <c r="G678" s="106" t="str">
        <f>'info, structure, parameters'!F212</f>
        <v>Amount of energy contained in 1 kg of non recyclable plastic waste</v>
      </c>
      <c r="H678" s="106">
        <f>'info, structure, parameters'!G212</f>
        <v>3</v>
      </c>
      <c r="I678" s="106"/>
      <c r="J678" s="106"/>
      <c r="K678" s="106"/>
      <c r="L678" s="106"/>
      <c r="M678" s="106"/>
      <c r="N678" s="19"/>
    </row>
    <row r="679" spans="1:14" ht="25" customHeight="1" x14ac:dyDescent="0.2">
      <c r="A679" s="19"/>
      <c r="B679" s="214" t="s">
        <v>44</v>
      </c>
      <c r="C679" s="214"/>
      <c r="D679" s="214"/>
      <c r="E679" s="214"/>
      <c r="F679" s="214"/>
      <c r="G679" s="214"/>
      <c r="H679" s="214"/>
      <c r="I679" s="214"/>
      <c r="J679" s="214"/>
      <c r="K679" s="214"/>
      <c r="L679" s="214"/>
      <c r="M679" s="214"/>
      <c r="N679" s="19"/>
    </row>
    <row r="680" spans="1:14" ht="25" customHeight="1" x14ac:dyDescent="0.2">
      <c r="A680" s="19"/>
      <c r="B680" s="214" t="s">
        <v>47</v>
      </c>
      <c r="C680" s="214"/>
      <c r="D680" s="214"/>
      <c r="E680" s="214"/>
      <c r="F680" s="214"/>
      <c r="G680" s="223"/>
      <c r="H680" s="214" t="s">
        <v>48</v>
      </c>
      <c r="I680" s="214"/>
      <c r="J680" s="214"/>
      <c r="K680" s="214"/>
      <c r="L680" s="214"/>
      <c r="M680" s="214"/>
      <c r="N680" s="19"/>
    </row>
    <row r="681" spans="1:14" x14ac:dyDescent="0.2">
      <c r="A681" s="19"/>
      <c r="B681" s="2" t="s">
        <v>21</v>
      </c>
      <c r="C681" s="3" t="s">
        <v>20</v>
      </c>
      <c r="D681" s="2" t="s">
        <v>99</v>
      </c>
      <c r="E681" s="2" t="s">
        <v>3</v>
      </c>
      <c r="F681" s="2" t="s">
        <v>4</v>
      </c>
      <c r="G681" s="4" t="s">
        <v>43</v>
      </c>
      <c r="H681" s="2" t="s">
        <v>21</v>
      </c>
      <c r="I681" s="3" t="s">
        <v>20</v>
      </c>
      <c r="J681" s="2" t="str">
        <f>D681</f>
        <v>Name</v>
      </c>
      <c r="K681" s="2" t="s">
        <v>3</v>
      </c>
      <c r="L681" s="2" t="s">
        <v>4</v>
      </c>
      <c r="M681" s="2" t="s">
        <v>43</v>
      </c>
      <c r="N681" s="19"/>
    </row>
    <row r="682" spans="1:14" x14ac:dyDescent="0.2">
      <c r="A682" s="19"/>
      <c r="B682" s="220" t="s">
        <v>14</v>
      </c>
      <c r="C682" s="6" t="str">
        <f t="shared" ref="C682:C701" si="115">C69</f>
        <v>PET</v>
      </c>
      <c r="D682" t="s">
        <v>1951</v>
      </c>
      <c r="E682">
        <f>$C$675*E69</f>
        <v>7521.759</v>
      </c>
      <c r="F682" t="s">
        <v>121</v>
      </c>
      <c r="G682" s="32" t="str">
        <f>$B$675&amp;" * "&amp;D69</f>
        <v>bottle_energy * bottle_PET_WG_SS_mass_pyrolysis</v>
      </c>
      <c r="H682" s="220" t="s">
        <v>14</v>
      </c>
      <c r="I682" s="6" t="str">
        <f>C682</f>
        <v>PET</v>
      </c>
      <c r="J682" t="s">
        <v>1971</v>
      </c>
      <c r="K682">
        <v>0</v>
      </c>
      <c r="L682" t="s">
        <v>121</v>
      </c>
      <c r="M682" t="str">
        <f>$B$675&amp;" * "&amp;J69</f>
        <v>bottle_energy * bottle_PET_WG_INC_mass_pyrolysis</v>
      </c>
      <c r="N682" s="19"/>
    </row>
    <row r="683" spans="1:14" x14ac:dyDescent="0.2">
      <c r="A683" s="19"/>
      <c r="B683" s="220"/>
      <c r="C683" s="6" t="str">
        <f t="shared" si="115"/>
        <v>PE</v>
      </c>
      <c r="D683" t="s">
        <v>1952</v>
      </c>
      <c r="E683">
        <f>$C$675*E70</f>
        <v>2289.2309999999998</v>
      </c>
      <c r="F683" t="str">
        <f>F682</f>
        <v>MJ</v>
      </c>
      <c r="G683" s="32" t="str">
        <f>$B$675&amp;" * "&amp;D70</f>
        <v>bottle_energy * bottle_PE_WG_SS_mass_pyrolysis</v>
      </c>
      <c r="H683" s="220"/>
      <c r="I683" s="6" t="str">
        <f t="shared" ref="I683:I701" si="116">C683</f>
        <v>PE</v>
      </c>
      <c r="J683" t="s">
        <v>1972</v>
      </c>
      <c r="K683">
        <v>0</v>
      </c>
      <c r="L683" t="s">
        <v>121</v>
      </c>
      <c r="M683" t="str">
        <f>$B$675&amp;" * "&amp;J70</f>
        <v>bottle_energy * bottle_PE_WG_INC_mass_pyrolysis</v>
      </c>
      <c r="N683" s="19"/>
    </row>
    <row r="684" spans="1:14" x14ac:dyDescent="0.2">
      <c r="A684" s="19"/>
      <c r="B684" s="220"/>
      <c r="C684" s="6" t="str">
        <f t="shared" si="115"/>
        <v>PP</v>
      </c>
      <c r="D684" t="s">
        <v>1953</v>
      </c>
      <c r="E684">
        <f>$C$675*E71</f>
        <v>0</v>
      </c>
      <c r="F684" t="str">
        <f t="shared" ref="F684:F701" si="117">F683</f>
        <v>MJ</v>
      </c>
      <c r="G684" s="32" t="str">
        <f>$B$675&amp;" * "&amp;D71</f>
        <v>bottle_energy * bottle_PP_WG_SS_mass_pyrolysis</v>
      </c>
      <c r="H684" s="220"/>
      <c r="I684" s="6" t="str">
        <f t="shared" si="116"/>
        <v>PP</v>
      </c>
      <c r="J684" t="s">
        <v>1973</v>
      </c>
      <c r="K684">
        <v>0</v>
      </c>
      <c r="L684" t="s">
        <v>121</v>
      </c>
      <c r="M684" t="str">
        <f>$B$675&amp;" * "&amp;J71</f>
        <v>bottle_energy * bottle_PP_WG_INC_mass_pyrolysis</v>
      </c>
      <c r="N684" s="19"/>
    </row>
    <row r="685" spans="1:14" x14ac:dyDescent="0.2">
      <c r="A685" s="19"/>
      <c r="B685" s="220"/>
      <c r="C685" s="6" t="str">
        <f t="shared" si="115"/>
        <v>PS</v>
      </c>
      <c r="D685" t="s">
        <v>1954</v>
      </c>
      <c r="E685">
        <f>$C$675*E72</f>
        <v>0</v>
      </c>
      <c r="F685" t="str">
        <f t="shared" si="117"/>
        <v>MJ</v>
      </c>
      <c r="G685" s="32" t="str">
        <f>$B$675&amp;" * "&amp;D72</f>
        <v>bottle_energy * bottle_PS_WG_SS_mass_pyrolysis</v>
      </c>
      <c r="H685" s="220"/>
      <c r="I685" s="6" t="str">
        <f t="shared" si="116"/>
        <v>PS</v>
      </c>
      <c r="J685" t="s">
        <v>1974</v>
      </c>
      <c r="K685">
        <f>C675*K70</f>
        <v>0</v>
      </c>
      <c r="L685" t="s">
        <v>121</v>
      </c>
      <c r="M685" t="str">
        <f>$B$675&amp;" * "&amp;J72</f>
        <v>bottle_energy * bottle_PS_WG_INC_mass_pyrolysis</v>
      </c>
      <c r="N685" s="19"/>
    </row>
    <row r="686" spans="1:14" x14ac:dyDescent="0.2">
      <c r="A686" s="19"/>
      <c r="B686" s="220"/>
      <c r="C686" s="6" t="str">
        <f t="shared" si="115"/>
        <v>Other</v>
      </c>
      <c r="D686" t="s">
        <v>1955</v>
      </c>
      <c r="E686">
        <f>$C$675*E73</f>
        <v>0</v>
      </c>
      <c r="F686" t="str">
        <f>F685</f>
        <v>MJ</v>
      </c>
      <c r="G686" s="32" t="str">
        <f>$B$675&amp;" * "&amp;D73</f>
        <v>bottle_energy * bottle_Oth_WG_SS_mass_pyrolysis</v>
      </c>
      <c r="H686" s="220"/>
      <c r="I686" s="6" t="str">
        <f t="shared" si="116"/>
        <v>Other</v>
      </c>
      <c r="J686" t="s">
        <v>1975</v>
      </c>
      <c r="K686">
        <f>C675*K71</f>
        <v>0</v>
      </c>
      <c r="L686" t="s">
        <v>121</v>
      </c>
      <c r="M686" t="str">
        <f>$B$675&amp;" * "&amp;J73</f>
        <v>bottle_energy * bottle_Oth_WG_INC_mass_pyrolysis</v>
      </c>
      <c r="N686" s="19"/>
    </row>
    <row r="687" spans="1:14" x14ac:dyDescent="0.2">
      <c r="A687" s="19"/>
      <c r="B687" s="220" t="s">
        <v>15</v>
      </c>
      <c r="C687" s="6" t="str">
        <f t="shared" si="115"/>
        <v>PET</v>
      </c>
      <c r="D687" t="s">
        <v>1956</v>
      </c>
      <c r="E687">
        <f>$C$676*E74</f>
        <v>1448.5151999999998</v>
      </c>
      <c r="F687" t="str">
        <f t="shared" si="117"/>
        <v>MJ</v>
      </c>
      <c r="G687" s="32" t="str">
        <f>$B$676&amp;" * "&amp;D74</f>
        <v>rigid_energy * rigid_PET_WG_SS_mass_pyrolysis</v>
      </c>
      <c r="H687" s="220" t="s">
        <v>15</v>
      </c>
      <c r="I687" s="6" t="str">
        <f t="shared" si="116"/>
        <v>PET</v>
      </c>
      <c r="J687" t="s">
        <v>1976</v>
      </c>
      <c r="K687">
        <v>0</v>
      </c>
      <c r="L687" t="s">
        <v>121</v>
      </c>
      <c r="M687" t="str">
        <f>$B$676&amp;" * "&amp;J74</f>
        <v>rigid_energy * rigid_PET_WG_INC_mass_pyrolysis</v>
      </c>
      <c r="N687" s="19"/>
    </row>
    <row r="688" spans="1:14" x14ac:dyDescent="0.2">
      <c r="A688" s="19"/>
      <c r="B688" s="220"/>
      <c r="C688" s="6" t="str">
        <f t="shared" si="115"/>
        <v>PE</v>
      </c>
      <c r="D688" t="s">
        <v>1957</v>
      </c>
      <c r="E688">
        <f>$C$676*E75</f>
        <v>1086.3863999999999</v>
      </c>
      <c r="F688" t="str">
        <f t="shared" si="117"/>
        <v>MJ</v>
      </c>
      <c r="G688" s="32" t="str">
        <f>$B$676&amp;" * "&amp;D75</f>
        <v>rigid_energy * rigid_PE_WG_SS_mass_pyrolysis</v>
      </c>
      <c r="H688" s="220"/>
      <c r="I688" s="6" t="str">
        <f t="shared" si="116"/>
        <v>PE</v>
      </c>
      <c r="J688" t="s">
        <v>1977</v>
      </c>
      <c r="K688">
        <v>0</v>
      </c>
      <c r="L688" t="s">
        <v>121</v>
      </c>
      <c r="M688" t="str">
        <f>$B$676&amp;" * "&amp;J75</f>
        <v>rigid_energy * rigid_PE_WG_INC_mass_pyrolysis</v>
      </c>
      <c r="N688" s="19"/>
    </row>
    <row r="689" spans="1:14" x14ac:dyDescent="0.2">
      <c r="A689" s="19"/>
      <c r="B689" s="220"/>
      <c r="C689" s="6" t="str">
        <f t="shared" si="115"/>
        <v>PP</v>
      </c>
      <c r="D689" t="s">
        <v>1958</v>
      </c>
      <c r="E689">
        <f>$C$676*E76</f>
        <v>2534.9015999999997</v>
      </c>
      <c r="F689" t="str">
        <f t="shared" si="117"/>
        <v>MJ</v>
      </c>
      <c r="G689" s="32" t="str">
        <f>$B$676&amp;" * "&amp;D76</f>
        <v>rigid_energy * rigid_PP_WG_SS_mass_pyrolysis</v>
      </c>
      <c r="H689" s="220"/>
      <c r="I689" s="6" t="str">
        <f t="shared" si="116"/>
        <v>PP</v>
      </c>
      <c r="J689" t="s">
        <v>1978</v>
      </c>
      <c r="K689">
        <v>0</v>
      </c>
      <c r="L689" t="s">
        <v>121</v>
      </c>
      <c r="M689" t="str">
        <f>$B$676&amp;" * "&amp;J76</f>
        <v>rigid_energy * rigid_PP_WG_INC_mass_pyrolysis</v>
      </c>
      <c r="N689" s="19"/>
    </row>
    <row r="690" spans="1:14" x14ac:dyDescent="0.2">
      <c r="A690" s="19"/>
      <c r="B690" s="220"/>
      <c r="C690" s="6" t="str">
        <f t="shared" si="115"/>
        <v>PS</v>
      </c>
      <c r="D690" t="s">
        <v>1959</v>
      </c>
      <c r="E690">
        <f>$C$676*E77</f>
        <v>362.12879999999996</v>
      </c>
      <c r="F690" t="str">
        <f>F689</f>
        <v>MJ</v>
      </c>
      <c r="G690" s="32" t="str">
        <f>$B$676&amp;" * "&amp;D77</f>
        <v>rigid_energy * rigid_PS_WG_SS_mass_pyrolysis</v>
      </c>
      <c r="H690" s="220"/>
      <c r="I690" s="6" t="str">
        <f t="shared" si="116"/>
        <v>PS</v>
      </c>
      <c r="J690" t="s">
        <v>1979</v>
      </c>
      <c r="K690">
        <f>C676*K75</f>
        <v>0</v>
      </c>
      <c r="L690" t="s">
        <v>121</v>
      </c>
      <c r="M690" t="str">
        <f>$B$676&amp;" * "&amp;J77</f>
        <v>rigid_energy * rigid_PS_WG_INC_mass_pyrolysis</v>
      </c>
      <c r="N690" s="19"/>
    </row>
    <row r="691" spans="1:14" x14ac:dyDescent="0.2">
      <c r="A691" s="19"/>
      <c r="B691" s="220"/>
      <c r="C691" s="6" t="str">
        <f t="shared" si="115"/>
        <v>Other</v>
      </c>
      <c r="D691" t="s">
        <v>1960</v>
      </c>
      <c r="E691">
        <f>$C$676*E78</f>
        <v>1810.6439999999993</v>
      </c>
      <c r="F691" t="str">
        <f t="shared" si="117"/>
        <v>MJ</v>
      </c>
      <c r="G691" s="32" t="str">
        <f>$B$676&amp;" * "&amp;D78</f>
        <v>rigid_energy * rigid_Oth_WG_SS_mass_pyrolysis</v>
      </c>
      <c r="H691" s="220"/>
      <c r="I691" s="6" t="str">
        <f t="shared" si="116"/>
        <v>Other</v>
      </c>
      <c r="J691" t="s">
        <v>1980</v>
      </c>
      <c r="K691">
        <f>C676*K76</f>
        <v>0</v>
      </c>
      <c r="L691" t="s">
        <v>121</v>
      </c>
      <c r="M691" t="str">
        <f>$B$676&amp;" * "&amp;J78</f>
        <v>rigid_energy * rigid_Oth_WG_INC_mass_pyrolysis</v>
      </c>
      <c r="N691" s="19"/>
    </row>
    <row r="692" spans="1:14" x14ac:dyDescent="0.2">
      <c r="A692" s="19"/>
      <c r="B692" s="220" t="s">
        <v>42</v>
      </c>
      <c r="C692" s="6" t="str">
        <f t="shared" si="115"/>
        <v>PET</v>
      </c>
      <c r="D692" t="s">
        <v>1961</v>
      </c>
      <c r="E692">
        <f>$C$677*E79</f>
        <v>0</v>
      </c>
      <c r="F692" t="str">
        <f t="shared" si="117"/>
        <v>MJ</v>
      </c>
      <c r="G692" s="32" t="str">
        <f>$B$677&amp;" * "&amp;D79</f>
        <v>soft_energy * soft_PET_WG_SS_mass_pyrolysis</v>
      </c>
      <c r="H692" s="220" t="s">
        <v>42</v>
      </c>
      <c r="I692" s="6" t="str">
        <f t="shared" si="116"/>
        <v>PET</v>
      </c>
      <c r="J692" t="s">
        <v>1991</v>
      </c>
      <c r="K692">
        <v>0</v>
      </c>
      <c r="L692" t="s">
        <v>121</v>
      </c>
      <c r="M692" t="str">
        <f>$B$677&amp;" * "&amp;J79</f>
        <v>soft_energy * soft_PET_WG_INC_mass_pyrolysis</v>
      </c>
      <c r="N692" s="19"/>
    </row>
    <row r="693" spans="1:14" x14ac:dyDescent="0.2">
      <c r="A693" s="19"/>
      <c r="B693" s="220"/>
      <c r="C693" s="6" t="str">
        <f t="shared" si="115"/>
        <v>PE</v>
      </c>
      <c r="D693" t="s">
        <v>1962</v>
      </c>
      <c r="E693">
        <f>$C$677*E80</f>
        <v>10322.260199999999</v>
      </c>
      <c r="F693" t="str">
        <f t="shared" si="117"/>
        <v>MJ</v>
      </c>
      <c r="G693" s="32" t="str">
        <f>$B$677&amp;" * "&amp;D80</f>
        <v>soft_energy * soft_PE_WG_SS_mass_pyrolysis</v>
      </c>
      <c r="H693" s="220"/>
      <c r="I693" s="6" t="str">
        <f t="shared" si="116"/>
        <v>PE</v>
      </c>
      <c r="J693" t="s">
        <v>1981</v>
      </c>
      <c r="K693">
        <v>0</v>
      </c>
      <c r="L693" t="s">
        <v>121</v>
      </c>
      <c r="M693" t="str">
        <f>$B$677&amp;" * "&amp;J80</f>
        <v>soft_energy * soft_PE_WG_INC_mass_pyrolysis</v>
      </c>
      <c r="N693" s="19"/>
    </row>
    <row r="694" spans="1:14" x14ac:dyDescent="0.2">
      <c r="A694" s="19"/>
      <c r="B694" s="220"/>
      <c r="C694" s="6" t="str">
        <f t="shared" si="115"/>
        <v>PP</v>
      </c>
      <c r="D694" t="s">
        <v>1963</v>
      </c>
      <c r="E694">
        <f>$C$677*E81</f>
        <v>0</v>
      </c>
      <c r="F694" t="str">
        <f t="shared" si="117"/>
        <v>MJ</v>
      </c>
      <c r="G694" s="32" t="str">
        <f>$B$677&amp;" * "&amp;D81</f>
        <v>soft_energy * soft_PP_WG_SS_mass_pyrolysis</v>
      </c>
      <c r="H694" s="220"/>
      <c r="I694" s="6" t="str">
        <f t="shared" si="116"/>
        <v>PP</v>
      </c>
      <c r="J694" t="s">
        <v>1982</v>
      </c>
      <c r="K694">
        <v>0</v>
      </c>
      <c r="L694" t="s">
        <v>121</v>
      </c>
      <c r="M694" t="str">
        <f>$B$677&amp;" * "&amp;J81</f>
        <v>soft_energy * soft_PP_WG_INC_mass_pyrolysis</v>
      </c>
      <c r="N694" s="19"/>
    </row>
    <row r="695" spans="1:14" x14ac:dyDescent="0.2">
      <c r="A695" s="19"/>
      <c r="B695" s="220"/>
      <c r="C695" s="6" t="str">
        <f t="shared" si="115"/>
        <v>PS</v>
      </c>
      <c r="D695" t="s">
        <v>1964</v>
      </c>
      <c r="E695">
        <f>$C$677*E82</f>
        <v>0</v>
      </c>
      <c r="F695" t="str">
        <f t="shared" si="117"/>
        <v>MJ</v>
      </c>
      <c r="G695" s="32" t="str">
        <f>$B$677&amp;" * "&amp;D82</f>
        <v>soft_energy * soft_PS_WG_SS_mass_pyrolysis</v>
      </c>
      <c r="H695" s="220"/>
      <c r="I695" s="6" t="str">
        <f t="shared" si="116"/>
        <v>PS</v>
      </c>
      <c r="J695" t="s">
        <v>1983</v>
      </c>
      <c r="K695">
        <f>C677*K80</f>
        <v>0</v>
      </c>
      <c r="L695" t="s">
        <v>121</v>
      </c>
      <c r="M695" t="str">
        <f>$B$677&amp;" * "&amp;J82</f>
        <v>soft_energy * soft_PS_WG_INC_mass_pyrolysis</v>
      </c>
      <c r="N695" s="19"/>
    </row>
    <row r="696" spans="1:14" x14ac:dyDescent="0.2">
      <c r="A696" s="19"/>
      <c r="B696" s="220"/>
      <c r="C696" s="6" t="str">
        <f t="shared" si="115"/>
        <v>Other</v>
      </c>
      <c r="D696" t="s">
        <v>1965</v>
      </c>
      <c r="E696">
        <f>$C$677*E83</f>
        <v>3440.753400000001</v>
      </c>
      <c r="F696" t="str">
        <f t="shared" si="117"/>
        <v>MJ</v>
      </c>
      <c r="G696" s="32" t="str">
        <f>$B$677&amp;" * "&amp;D83</f>
        <v>soft_energy * soft_Oth_WG_SS_mass_pyrolysis</v>
      </c>
      <c r="H696" s="220"/>
      <c r="I696" s="6" t="str">
        <f t="shared" si="116"/>
        <v>Other</v>
      </c>
      <c r="J696" t="s">
        <v>1984</v>
      </c>
      <c r="K696">
        <f>C677*K81</f>
        <v>0</v>
      </c>
      <c r="L696" t="s">
        <v>121</v>
      </c>
      <c r="M696" t="str">
        <f>$B$677&amp;" * "&amp;J83</f>
        <v>soft_energy * soft_Oth_WG_INC_mass_pyrolysis</v>
      </c>
      <c r="N696" s="19"/>
    </row>
    <row r="697" spans="1:14" x14ac:dyDescent="0.2">
      <c r="A697" s="19"/>
      <c r="B697" s="220" t="s">
        <v>19</v>
      </c>
      <c r="C697" s="6" t="str">
        <f t="shared" si="115"/>
        <v>PET</v>
      </c>
      <c r="D697" t="s">
        <v>1966</v>
      </c>
      <c r="E697">
        <f>$C$678*E84</f>
        <v>0</v>
      </c>
      <c r="F697" t="str">
        <f t="shared" si="117"/>
        <v>MJ</v>
      </c>
      <c r="G697" s="32" t="str">
        <f>$B$678&amp;" * "&amp;D84</f>
        <v>nonrec_energy * other_PET_WG_SS_mass_pyrolysis</v>
      </c>
      <c r="H697" s="220" t="s">
        <v>19</v>
      </c>
      <c r="I697" s="6" t="str">
        <f t="shared" si="116"/>
        <v>PET</v>
      </c>
      <c r="J697" t="s">
        <v>1985</v>
      </c>
      <c r="K697">
        <f>$C$677*K82</f>
        <v>0</v>
      </c>
      <c r="L697" t="s">
        <v>121</v>
      </c>
      <c r="M697" t="str">
        <f>$B$678&amp;" * "&amp;J84</f>
        <v>nonrec_energy * other_PET_WG_INC_mass_pyrolysis</v>
      </c>
      <c r="N697" s="19"/>
    </row>
    <row r="698" spans="1:14" x14ac:dyDescent="0.2">
      <c r="A698" s="19"/>
      <c r="B698" s="220"/>
      <c r="C698" s="6" t="str">
        <f t="shared" si="115"/>
        <v>PE</v>
      </c>
      <c r="D698" t="s">
        <v>1967</v>
      </c>
      <c r="E698">
        <f>$C$678*E85</f>
        <v>0</v>
      </c>
      <c r="F698" t="str">
        <f t="shared" si="117"/>
        <v>MJ</v>
      </c>
      <c r="G698" s="32" t="str">
        <f>$B$678&amp;" * "&amp;D85</f>
        <v>nonrec_energy * other_PE_WG_SS_mass_pyrolysis</v>
      </c>
      <c r="H698" s="220"/>
      <c r="I698" s="6" t="str">
        <f t="shared" si="116"/>
        <v>PE</v>
      </c>
      <c r="J698" t="s">
        <v>1986</v>
      </c>
      <c r="K698">
        <f>$C$677*K83</f>
        <v>0</v>
      </c>
      <c r="L698" t="s">
        <v>121</v>
      </c>
      <c r="M698" t="str">
        <f>$B$678&amp;" * "&amp;J85</f>
        <v>nonrec_energy * other_PE_WG_INC_mass_pyrolysis</v>
      </c>
      <c r="N698" s="19"/>
    </row>
    <row r="699" spans="1:14" x14ac:dyDescent="0.2">
      <c r="A699" s="19"/>
      <c r="B699" s="220"/>
      <c r="C699" s="6" t="str">
        <f t="shared" si="115"/>
        <v>PP</v>
      </c>
      <c r="D699" t="s">
        <v>1968</v>
      </c>
      <c r="E699">
        <f>$C$678*E86</f>
        <v>0</v>
      </c>
      <c r="F699" t="str">
        <f t="shared" si="117"/>
        <v>MJ</v>
      </c>
      <c r="G699" s="32" t="str">
        <f>$B$678&amp;" * "&amp;D86</f>
        <v>nonrec_energy * other_PP_WG_SS_mass_pyrolysis</v>
      </c>
      <c r="H699" s="220"/>
      <c r="I699" s="6" t="str">
        <f t="shared" si="116"/>
        <v>PP</v>
      </c>
      <c r="J699" t="s">
        <v>1987</v>
      </c>
      <c r="K699">
        <f>$C$677*K84</f>
        <v>0</v>
      </c>
      <c r="L699" t="s">
        <v>121</v>
      </c>
      <c r="M699" t="str">
        <f>$B$678&amp;" * "&amp;J86</f>
        <v>nonrec_energy * other_PP_WG_INC_mass_pyrolysis</v>
      </c>
      <c r="N699" s="19"/>
    </row>
    <row r="700" spans="1:14" x14ac:dyDescent="0.2">
      <c r="A700" s="19"/>
      <c r="B700" s="220"/>
      <c r="C700" s="6" t="str">
        <f t="shared" si="115"/>
        <v>PS</v>
      </c>
      <c r="D700" t="s">
        <v>1969</v>
      </c>
      <c r="E700">
        <f>$C$678*E87</f>
        <v>0</v>
      </c>
      <c r="F700" t="str">
        <f t="shared" si="117"/>
        <v>MJ</v>
      </c>
      <c r="G700" s="32" t="str">
        <f>$B$678&amp;" * "&amp;D87</f>
        <v>nonrec_energy * other_PS_WG_SS_mass_pyrolysis</v>
      </c>
      <c r="H700" s="220"/>
      <c r="I700" s="6" t="str">
        <f t="shared" si="116"/>
        <v>PS</v>
      </c>
      <c r="J700" t="s">
        <v>1988</v>
      </c>
      <c r="K700">
        <f>$C$677*K85</f>
        <v>0</v>
      </c>
      <c r="L700" t="s">
        <v>121</v>
      </c>
      <c r="M700" t="str">
        <f>$B$678&amp;" * "&amp;J87</f>
        <v>nonrec_energy * other_PS_WG_INC_mass_pyrolysis</v>
      </c>
      <c r="N700" s="19"/>
    </row>
    <row r="701" spans="1:14" x14ac:dyDescent="0.2">
      <c r="A701" s="19"/>
      <c r="B701" s="227"/>
      <c r="C701" s="60" t="str">
        <f t="shared" si="115"/>
        <v>Other</v>
      </c>
      <c r="D701" s="44" t="s">
        <v>1970</v>
      </c>
      <c r="E701" s="44">
        <f>$C$678*E88</f>
        <v>2969.083999999998</v>
      </c>
      <c r="F701" s="44" t="str">
        <f t="shared" si="117"/>
        <v>MJ</v>
      </c>
      <c r="G701" s="32" t="str">
        <f>$B$678&amp;" * "&amp;D88</f>
        <v>nonrec_energy * other_Oth_WG_SS_mass_pyrolysis</v>
      </c>
      <c r="H701" s="220"/>
      <c r="I701" s="6" t="str">
        <f t="shared" si="116"/>
        <v>Other</v>
      </c>
      <c r="J701" t="s">
        <v>1989</v>
      </c>
      <c r="K701">
        <f>$C$677*K88</f>
        <v>0</v>
      </c>
      <c r="L701" t="str">
        <f>L700</f>
        <v>MJ</v>
      </c>
      <c r="M701" t="str">
        <f>$B$678&amp;" * "&amp;J88</f>
        <v>nonrec_energy * other_Oth_WG_INC_mass_pyrolysis</v>
      </c>
      <c r="N701" s="19"/>
    </row>
    <row r="702" spans="1:14" ht="25" customHeight="1" x14ac:dyDescent="0.2">
      <c r="A702" s="19"/>
      <c r="B702" s="214" t="s">
        <v>45</v>
      </c>
      <c r="C702" s="214"/>
      <c r="D702" s="214"/>
      <c r="E702" s="214"/>
      <c r="F702" s="214"/>
      <c r="G702" s="214"/>
      <c r="H702" s="214"/>
      <c r="I702" s="214"/>
      <c r="J702" s="214"/>
      <c r="K702" s="214"/>
      <c r="L702" s="214"/>
      <c r="M702" s="214"/>
      <c r="N702" s="19"/>
    </row>
    <row r="703" spans="1:14" x14ac:dyDescent="0.2">
      <c r="A703" s="19"/>
      <c r="B703" s="53" t="s">
        <v>46</v>
      </c>
      <c r="C703" s="10" t="s">
        <v>3</v>
      </c>
      <c r="D703" s="10" t="s">
        <v>4</v>
      </c>
      <c r="E703" s="53" t="s">
        <v>7</v>
      </c>
      <c r="F703" s="10"/>
      <c r="G703" s="40"/>
      <c r="H703" s="53" t="s">
        <v>49</v>
      </c>
      <c r="I703" s="53" t="s">
        <v>3</v>
      </c>
      <c r="J703" s="53" t="s">
        <v>4</v>
      </c>
      <c r="K703" s="53" t="s">
        <v>7</v>
      </c>
      <c r="L703" s="10"/>
      <c r="M703" s="10"/>
      <c r="N703" s="19"/>
    </row>
    <row r="704" spans="1:14" x14ac:dyDescent="0.2">
      <c r="A704" s="19"/>
      <c r="B704" t="s">
        <v>2008</v>
      </c>
      <c r="C704">
        <f>SUM(E682:E686)</f>
        <v>9810.99</v>
      </c>
      <c r="D704" t="s">
        <v>121</v>
      </c>
      <c r="E704" t="s">
        <v>1095</v>
      </c>
      <c r="F704" s="2"/>
      <c r="G704" s="4"/>
      <c r="H704" t="s">
        <v>2013</v>
      </c>
      <c r="I704">
        <f>SUM(K682:K686)</f>
        <v>0</v>
      </c>
      <c r="J704" t="s">
        <v>121</v>
      </c>
      <c r="K704" t="s">
        <v>1992</v>
      </c>
      <c r="L704" s="2"/>
      <c r="M704" s="2"/>
      <c r="N704" s="19"/>
    </row>
    <row r="705" spans="1:14" x14ac:dyDescent="0.2">
      <c r="A705" s="19"/>
      <c r="B705" t="s">
        <v>2009</v>
      </c>
      <c r="C705">
        <f>SUM(E687:E691)</f>
        <v>7242.5759999999982</v>
      </c>
      <c r="D705" t="str">
        <f>D704</f>
        <v>MJ</v>
      </c>
      <c r="E705" t="s">
        <v>1096</v>
      </c>
      <c r="F705" s="2"/>
      <c r="G705" s="4"/>
      <c r="H705" t="s">
        <v>2014</v>
      </c>
      <c r="I705">
        <f>SUM(K687:K691)</f>
        <v>0</v>
      </c>
      <c r="J705" t="str">
        <f>J704</f>
        <v>MJ</v>
      </c>
      <c r="K705" t="s">
        <v>1993</v>
      </c>
      <c r="L705" s="2"/>
      <c r="M705" s="2"/>
      <c r="N705" s="19"/>
    </row>
    <row r="706" spans="1:14" x14ac:dyDescent="0.2">
      <c r="A706" s="19"/>
      <c r="B706" t="s">
        <v>2010</v>
      </c>
      <c r="C706">
        <f>SUM(E692:E696)</f>
        <v>13763.0136</v>
      </c>
      <c r="D706" t="str">
        <f>D705</f>
        <v>MJ</v>
      </c>
      <c r="E706" t="s">
        <v>1097</v>
      </c>
      <c r="F706" s="2"/>
      <c r="G706" s="4"/>
      <c r="H706" t="s">
        <v>2015</v>
      </c>
      <c r="I706">
        <f>SUM(K692:K696)</f>
        <v>0</v>
      </c>
      <c r="J706" t="str">
        <f>J705</f>
        <v>MJ</v>
      </c>
      <c r="K706" t="s">
        <v>1994</v>
      </c>
      <c r="L706" s="2"/>
      <c r="M706" s="2"/>
      <c r="N706" s="19"/>
    </row>
    <row r="707" spans="1:14" ht="16" thickBot="1" x14ac:dyDescent="0.25">
      <c r="A707" s="19"/>
      <c r="B707" s="8" t="s">
        <v>2011</v>
      </c>
      <c r="C707" s="8">
        <f>SUM(E697:E701)</f>
        <v>2969.083999999998</v>
      </c>
      <c r="D707" s="8" t="s">
        <v>121</v>
      </c>
      <c r="E707" s="8" t="s">
        <v>1098</v>
      </c>
      <c r="F707" s="8"/>
      <c r="G707" s="87"/>
      <c r="H707" s="8" t="s">
        <v>2016</v>
      </c>
      <c r="I707" s="88">
        <f>SUM(K697:K701)</f>
        <v>0</v>
      </c>
      <c r="J707" s="8" t="str">
        <f>J706</f>
        <v>MJ</v>
      </c>
      <c r="K707" s="8" t="s">
        <v>1995</v>
      </c>
      <c r="L707" s="8"/>
      <c r="M707" s="8"/>
      <c r="N707" s="19"/>
    </row>
    <row r="708" spans="1:14" ht="16" thickTop="1" x14ac:dyDescent="0.2">
      <c r="A708" s="19"/>
      <c r="B708" s="44" t="s">
        <v>2012</v>
      </c>
      <c r="C708" s="44">
        <f>SUM(C704:C707)</f>
        <v>33785.663599999993</v>
      </c>
      <c r="D708" s="44" t="str">
        <f>D706</f>
        <v>MJ</v>
      </c>
      <c r="E708" s="44" t="s">
        <v>1997</v>
      </c>
      <c r="F708" s="56"/>
      <c r="G708" s="57"/>
      <c r="H708" s="44" t="s">
        <v>1998</v>
      </c>
      <c r="I708" s="44">
        <f>SUM(I704:I707)</f>
        <v>0</v>
      </c>
      <c r="J708" s="44" t="str">
        <f>J707</f>
        <v>MJ</v>
      </c>
      <c r="K708" s="44" t="s">
        <v>1996</v>
      </c>
      <c r="L708" s="56"/>
      <c r="M708" s="56"/>
      <c r="N708" s="19"/>
    </row>
    <row r="709" spans="1:14" x14ac:dyDescent="0.2">
      <c r="A709" s="19"/>
      <c r="B709" s="19"/>
      <c r="C709" s="97"/>
      <c r="D709" s="19"/>
      <c r="E709" s="19"/>
      <c r="F709" s="19"/>
      <c r="G709" s="19"/>
      <c r="H709" s="19"/>
      <c r="I709" s="97"/>
      <c r="J709" s="19"/>
      <c r="K709" s="19"/>
      <c r="L709" s="19"/>
      <c r="M709" s="19"/>
      <c r="N709" s="19"/>
    </row>
    <row r="710" spans="1:14" x14ac:dyDescent="0.2">
      <c r="A710" s="19"/>
      <c r="B710" s="19"/>
      <c r="C710" s="97"/>
      <c r="D710" s="19"/>
      <c r="E710" s="19"/>
      <c r="F710" s="19"/>
      <c r="G710" s="19"/>
      <c r="H710" s="19"/>
      <c r="I710" s="97"/>
      <c r="J710" s="19"/>
      <c r="K710" s="19"/>
      <c r="L710" s="19"/>
      <c r="M710" s="19"/>
      <c r="N710" s="19"/>
    </row>
    <row r="711" spans="1:14" x14ac:dyDescent="0.2">
      <c r="A711" s="19"/>
      <c r="B711" s="19"/>
      <c r="C711" s="97"/>
      <c r="D711" s="19"/>
      <c r="E711" s="19"/>
      <c r="F711" s="19"/>
      <c r="G711" s="19"/>
      <c r="H711" s="19"/>
      <c r="I711" s="97"/>
      <c r="J711" s="19"/>
      <c r="K711" s="19"/>
      <c r="L711" s="19"/>
      <c r="M711" s="19"/>
      <c r="N711" s="19"/>
    </row>
    <row r="712" spans="1:14" x14ac:dyDescent="0.2">
      <c r="A712" s="19"/>
      <c r="B712" s="19"/>
      <c r="C712" s="97"/>
      <c r="D712" s="19"/>
      <c r="E712" s="19"/>
      <c r="F712" s="19"/>
      <c r="G712" s="19"/>
      <c r="H712" s="19"/>
      <c r="I712" s="97"/>
      <c r="J712" s="19"/>
      <c r="K712" s="19"/>
      <c r="L712" s="19"/>
      <c r="M712" s="19"/>
      <c r="N712" s="19"/>
    </row>
    <row r="713" spans="1:14" x14ac:dyDescent="0.2">
      <c r="A713" s="19"/>
      <c r="B713" s="19"/>
      <c r="C713" s="97"/>
      <c r="D713" s="19"/>
      <c r="E713" s="19"/>
      <c r="F713" s="19"/>
      <c r="G713" s="19"/>
      <c r="H713" s="19"/>
      <c r="I713" s="97"/>
      <c r="J713" s="19"/>
      <c r="K713" s="19"/>
      <c r="L713" s="19"/>
      <c r="M713" s="19"/>
      <c r="N713" s="19"/>
    </row>
    <row r="714" spans="1:14" ht="25" customHeight="1" x14ac:dyDescent="0.2">
      <c r="A714" s="19"/>
      <c r="B714" s="214" t="s">
        <v>51</v>
      </c>
      <c r="C714" s="214"/>
      <c r="D714" s="214"/>
      <c r="E714" s="214"/>
      <c r="F714" s="214"/>
      <c r="G714" s="214"/>
      <c r="H714" s="214"/>
      <c r="I714" s="214"/>
      <c r="J714" s="214"/>
      <c r="K714" s="214"/>
      <c r="L714" s="214"/>
      <c r="M714" s="214"/>
      <c r="N714" s="19"/>
    </row>
    <row r="715" spans="1:14" ht="25" customHeight="1" x14ac:dyDescent="0.2">
      <c r="A715" s="19"/>
      <c r="B715" s="214" t="s">
        <v>53</v>
      </c>
      <c r="C715" s="214"/>
      <c r="D715" s="214"/>
      <c r="E715" s="214"/>
      <c r="F715" s="214"/>
      <c r="G715" s="214"/>
      <c r="H715" s="214"/>
      <c r="I715" s="214"/>
      <c r="J715" s="214"/>
      <c r="K715" s="214"/>
      <c r="L715" s="214"/>
      <c r="M715" s="214"/>
      <c r="N715" s="19"/>
    </row>
    <row r="716" spans="1:14" ht="25" customHeight="1" x14ac:dyDescent="0.2">
      <c r="A716" s="19"/>
      <c r="B716" s="214" t="s">
        <v>1395</v>
      </c>
      <c r="C716" s="214"/>
      <c r="D716" s="214"/>
      <c r="E716" s="214"/>
      <c r="F716" s="214"/>
      <c r="G716" s="223"/>
      <c r="H716" s="214" t="s">
        <v>48</v>
      </c>
      <c r="I716" s="214"/>
      <c r="J716" s="214"/>
      <c r="K716" s="214"/>
      <c r="L716" s="214"/>
      <c r="M716" s="214"/>
      <c r="N716" s="19"/>
    </row>
    <row r="717" spans="1:14" x14ac:dyDescent="0.2">
      <c r="A717" s="19"/>
      <c r="B717" s="2" t="s">
        <v>21</v>
      </c>
      <c r="C717" s="3" t="s">
        <v>20</v>
      </c>
      <c r="D717" s="2" t="s">
        <v>99</v>
      </c>
      <c r="E717" s="2" t="s">
        <v>3</v>
      </c>
      <c r="F717" s="2" t="s">
        <v>4</v>
      </c>
      <c r="G717" s="4" t="s">
        <v>43</v>
      </c>
      <c r="H717" s="2" t="s">
        <v>21</v>
      </c>
      <c r="I717" s="3" t="s">
        <v>20</v>
      </c>
      <c r="J717" s="2" t="str">
        <f>D717</f>
        <v>Name</v>
      </c>
      <c r="K717" s="2" t="s">
        <v>3</v>
      </c>
      <c r="L717" s="2" t="s">
        <v>4</v>
      </c>
      <c r="M717" s="2" t="s">
        <v>43</v>
      </c>
      <c r="N717" s="19"/>
    </row>
    <row r="718" spans="1:14" x14ac:dyDescent="0.2">
      <c r="A718" s="19"/>
      <c r="B718" s="220" t="s">
        <v>14</v>
      </c>
      <c r="C718" s="6" t="str">
        <f>C682</f>
        <v>PET</v>
      </c>
      <c r="D718" t="s">
        <v>1951</v>
      </c>
      <c r="E718" s="33">
        <f>$C$675*E114</f>
        <v>6769.5830999999998</v>
      </c>
      <c r="F718" t="s">
        <v>121</v>
      </c>
      <c r="G718" s="32" t="str">
        <f>$B$675&amp;" * "&amp;D114</f>
        <v>bottle_energy * bottle_PET_SS_PRE_mass_pyrolysis</v>
      </c>
      <c r="H718" s="220" t="s">
        <v>14</v>
      </c>
      <c r="I718" s="6" t="str">
        <f>C718</f>
        <v>PET</v>
      </c>
      <c r="J718" t="s">
        <v>2017</v>
      </c>
      <c r="K718" s="33">
        <f>E682-E718</f>
        <v>752.17590000000018</v>
      </c>
      <c r="L718" t="s">
        <v>121</v>
      </c>
      <c r="M718" t="str">
        <f>D682&amp;" - "&amp;D718</f>
        <v>bottle_PET_WG_SS_energy_pyrolysis - bottle_PET_WG_SS_energy_pyrolysis</v>
      </c>
      <c r="N718" s="19"/>
    </row>
    <row r="719" spans="1:14" x14ac:dyDescent="0.2">
      <c r="A719" s="19"/>
      <c r="B719" s="220"/>
      <c r="C719" s="6" t="str">
        <f t="shared" ref="C719:C732" si="118">C683</f>
        <v>PE</v>
      </c>
      <c r="D719" t="s">
        <v>2048</v>
      </c>
      <c r="E719" s="33">
        <f>$C$675*E115</f>
        <v>2060.3078999999998</v>
      </c>
      <c r="F719" t="s">
        <v>121</v>
      </c>
      <c r="G719" s="32" t="str">
        <f>$B$675&amp;" * "&amp;D115</f>
        <v>bottle_energy * bottle_PE_SS_PRE_mass_pyrolysis</v>
      </c>
      <c r="H719" s="220"/>
      <c r="I719" s="6" t="str">
        <f t="shared" ref="I719:I732" si="119">C719</f>
        <v>PE</v>
      </c>
      <c r="J719" t="s">
        <v>2018</v>
      </c>
      <c r="K719" s="33">
        <f t="shared" ref="K719:K732" si="120">E683-E719</f>
        <v>228.92309999999998</v>
      </c>
      <c r="L719" t="s">
        <v>121</v>
      </c>
      <c r="M719" t="str">
        <f t="shared" ref="M719:M732" si="121">D683&amp;" - "&amp;D719</f>
        <v>bottle_PE_WG_SS_energy_pyrolysis - bottle_PE_SS_PRE_energy_pyrolysis</v>
      </c>
      <c r="N719" s="19"/>
    </row>
    <row r="720" spans="1:14" x14ac:dyDescent="0.2">
      <c r="A720" s="19"/>
      <c r="B720" s="220"/>
      <c r="C720" s="6" t="str">
        <f t="shared" si="118"/>
        <v>PP</v>
      </c>
      <c r="D720" t="s">
        <v>2049</v>
      </c>
      <c r="E720" s="33">
        <f>$C$675*E116</f>
        <v>0</v>
      </c>
      <c r="F720" t="s">
        <v>121</v>
      </c>
      <c r="G720" s="32" t="str">
        <f>$B$675&amp;" * "&amp;D116</f>
        <v>bottle_energy * bottle_PP_SS_PRE_mass_pyrolysis</v>
      </c>
      <c r="H720" s="220"/>
      <c r="I720" s="6" t="str">
        <f t="shared" si="119"/>
        <v>PP</v>
      </c>
      <c r="J720" t="s">
        <v>2019</v>
      </c>
      <c r="K720" s="33">
        <f t="shared" si="120"/>
        <v>0</v>
      </c>
      <c r="L720" t="s">
        <v>121</v>
      </c>
      <c r="M720" t="str">
        <f t="shared" si="121"/>
        <v>bottle_PP_WG_SS_energy_pyrolysis - bottle_PP_SS_PRE_energy_pyrolysis</v>
      </c>
      <c r="N720" s="19"/>
    </row>
    <row r="721" spans="1:14" x14ac:dyDescent="0.2">
      <c r="A721" s="19"/>
      <c r="B721" s="220"/>
      <c r="C721" s="6" t="str">
        <f t="shared" si="118"/>
        <v>PS</v>
      </c>
      <c r="D721" t="s">
        <v>2050</v>
      </c>
      <c r="E721" s="33">
        <f>$C$675*E117</f>
        <v>0</v>
      </c>
      <c r="F721" t="s">
        <v>121</v>
      </c>
      <c r="G721" s="32" t="str">
        <f>$B$675&amp;" * "&amp;D117</f>
        <v>bottle_energy * bottle_PS_SS_PRE_mass_pyrolysis</v>
      </c>
      <c r="H721" s="220"/>
      <c r="I721" s="6" t="str">
        <f t="shared" si="119"/>
        <v>PS</v>
      </c>
      <c r="J721" t="s">
        <v>2020</v>
      </c>
      <c r="K721" s="33">
        <f t="shared" si="120"/>
        <v>0</v>
      </c>
      <c r="L721" t="s">
        <v>121</v>
      </c>
      <c r="M721" t="str">
        <f t="shared" si="121"/>
        <v>bottle_PS_WG_SS_energy_pyrolysis - bottle_PS_SS_PRE_energy_pyrolysis</v>
      </c>
      <c r="N721" s="19"/>
    </row>
    <row r="722" spans="1:14" x14ac:dyDescent="0.2">
      <c r="A722" s="19"/>
      <c r="B722" s="220"/>
      <c r="C722" s="6" t="str">
        <f t="shared" si="118"/>
        <v>Other</v>
      </c>
      <c r="D722" t="s">
        <v>2051</v>
      </c>
      <c r="E722" s="33">
        <f>$C$675*E118</f>
        <v>0</v>
      </c>
      <c r="F722" t="s">
        <v>121</v>
      </c>
      <c r="G722" s="32" t="str">
        <f>$B$675&amp;" * "&amp;D118</f>
        <v>bottle_energy * bottle_Oth_SS_PRE_mass_pyrolysis</v>
      </c>
      <c r="H722" s="220"/>
      <c r="I722" s="6" t="str">
        <f t="shared" si="119"/>
        <v>Other</v>
      </c>
      <c r="J722" t="s">
        <v>2021</v>
      </c>
      <c r="K722" s="33">
        <f t="shared" si="120"/>
        <v>0</v>
      </c>
      <c r="L722" t="s">
        <v>121</v>
      </c>
      <c r="M722" t="str">
        <f t="shared" si="121"/>
        <v>bottle_Oth_WG_SS_energy_pyrolysis - bottle_Oth_SS_PRE_energy_pyrolysis</v>
      </c>
      <c r="N722" s="19"/>
    </row>
    <row r="723" spans="1:14" x14ac:dyDescent="0.2">
      <c r="A723" s="19"/>
      <c r="B723" s="220" t="s">
        <v>15</v>
      </c>
      <c r="C723" s="6" t="str">
        <f t="shared" si="118"/>
        <v>PET</v>
      </c>
      <c r="D723" t="s">
        <v>2052</v>
      </c>
      <c r="E723" s="33">
        <f>$C$676*E119</f>
        <v>1303.6636799999999</v>
      </c>
      <c r="F723" t="s">
        <v>121</v>
      </c>
      <c r="G723" s="32" t="str">
        <f>$B$676&amp;" * "&amp;D119</f>
        <v>rigid_energy * rigid_PET_SS_PRE_mass_pyrolysis</v>
      </c>
      <c r="H723" s="220" t="s">
        <v>15</v>
      </c>
      <c r="I723" s="6" t="str">
        <f t="shared" si="119"/>
        <v>PET</v>
      </c>
      <c r="J723" t="s">
        <v>2022</v>
      </c>
      <c r="K723" s="33">
        <f t="shared" si="120"/>
        <v>144.85151999999994</v>
      </c>
      <c r="L723" t="s">
        <v>121</v>
      </c>
      <c r="M723" t="str">
        <f t="shared" si="121"/>
        <v>rigid_PET_WG_SS_energy_pyrolysis - rigid_PET_SS_PRE_energy_pyrolysis</v>
      </c>
      <c r="N723" s="19"/>
    </row>
    <row r="724" spans="1:14" x14ac:dyDescent="0.2">
      <c r="A724" s="19"/>
      <c r="B724" s="220"/>
      <c r="C724" s="6" t="str">
        <f t="shared" si="118"/>
        <v>PE</v>
      </c>
      <c r="D724" t="s">
        <v>2053</v>
      </c>
      <c r="E724" s="33">
        <f>$C$676*E120</f>
        <v>977.74775999999997</v>
      </c>
      <c r="F724" t="s">
        <v>121</v>
      </c>
      <c r="G724" s="32" t="str">
        <f>$B$676&amp;" * "&amp;D120</f>
        <v>rigid_energy * rigid_PE_SS_PRE_mass_pyrolysis</v>
      </c>
      <c r="H724" s="220"/>
      <c r="I724" s="6" t="str">
        <f t="shared" si="119"/>
        <v>PE</v>
      </c>
      <c r="J724" t="s">
        <v>2023</v>
      </c>
      <c r="K724" s="33">
        <f t="shared" si="120"/>
        <v>108.6386399999999</v>
      </c>
      <c r="L724" t="s">
        <v>121</v>
      </c>
      <c r="M724" t="str">
        <f t="shared" si="121"/>
        <v>rigid_PE_WG_SS_energy_pyrolysis - rigid_PE_SS_PRE_energy_pyrolysis</v>
      </c>
      <c r="N724" s="19"/>
    </row>
    <row r="725" spans="1:14" x14ac:dyDescent="0.2">
      <c r="A725" s="19"/>
      <c r="B725" s="220"/>
      <c r="C725" s="6" t="str">
        <f t="shared" si="118"/>
        <v>PP</v>
      </c>
      <c r="D725" t="s">
        <v>2054</v>
      </c>
      <c r="E725" s="33">
        <f>$C$676*E121</f>
        <v>2281.4114399999999</v>
      </c>
      <c r="F725" t="s">
        <v>121</v>
      </c>
      <c r="G725" s="32" t="str">
        <f>$B$676&amp;" * "&amp;D121</f>
        <v>rigid_energy * rigid_PP_SS_PRE_mass_pyrolysis</v>
      </c>
      <c r="H725" s="220"/>
      <c r="I725" s="6" t="str">
        <f t="shared" si="119"/>
        <v>PP</v>
      </c>
      <c r="J725" t="s">
        <v>2024</v>
      </c>
      <c r="K725" s="33">
        <f t="shared" si="120"/>
        <v>253.49015999999983</v>
      </c>
      <c r="L725" t="s">
        <v>121</v>
      </c>
      <c r="M725" t="str">
        <f t="shared" si="121"/>
        <v>rigid_PP_WG_SS_energy_pyrolysis - rigid_PP_SS_PRE_energy_pyrolysis</v>
      </c>
      <c r="N725" s="19"/>
    </row>
    <row r="726" spans="1:14" x14ac:dyDescent="0.2">
      <c r="A726" s="19"/>
      <c r="B726" s="220"/>
      <c r="C726" s="6" t="str">
        <f t="shared" si="118"/>
        <v>PS</v>
      </c>
      <c r="D726" t="s">
        <v>2055</v>
      </c>
      <c r="E726" s="33">
        <f>$C$676*E122</f>
        <v>325.91591999999997</v>
      </c>
      <c r="F726" t="s">
        <v>121</v>
      </c>
      <c r="G726" s="32" t="str">
        <f>$B$676&amp;" * "&amp;D122</f>
        <v>rigid_energy * rigid_PS_SS_PRE_mass_pyrolysis</v>
      </c>
      <c r="H726" s="220"/>
      <c r="I726" s="6" t="str">
        <f t="shared" si="119"/>
        <v>PS</v>
      </c>
      <c r="J726" t="s">
        <v>2025</v>
      </c>
      <c r="K726" s="33">
        <f t="shared" si="120"/>
        <v>36.212879999999984</v>
      </c>
      <c r="L726" t="s">
        <v>121</v>
      </c>
      <c r="M726" t="str">
        <f t="shared" si="121"/>
        <v>rigid_PS_WG_SS_energy_pyrolysis - rigid_PS_SS_PRE_energy_pyrolysis</v>
      </c>
      <c r="N726" s="19"/>
    </row>
    <row r="727" spans="1:14" x14ac:dyDescent="0.2">
      <c r="A727" s="19"/>
      <c r="B727" s="220"/>
      <c r="C727" s="6" t="str">
        <f t="shared" si="118"/>
        <v>Other</v>
      </c>
      <c r="D727" t="s">
        <v>2056</v>
      </c>
      <c r="E727" s="33">
        <f>$C$676*E123</f>
        <v>1629.5795999999993</v>
      </c>
      <c r="F727" t="s">
        <v>121</v>
      </c>
      <c r="G727" s="32" t="str">
        <f>$B$676&amp;" * "&amp;D123</f>
        <v>rigid_energy * rigid_Oth_SS_PRE_mass_pyrolysis</v>
      </c>
      <c r="H727" s="220"/>
      <c r="I727" s="6" t="str">
        <f t="shared" si="119"/>
        <v>Other</v>
      </c>
      <c r="J727" t="s">
        <v>2026</v>
      </c>
      <c r="K727" s="33">
        <f t="shared" si="120"/>
        <v>181.06439999999998</v>
      </c>
      <c r="L727" t="s">
        <v>121</v>
      </c>
      <c r="M727" t="str">
        <f t="shared" si="121"/>
        <v>rigid_Oth_WG_SS_energy_pyrolysis - rigid_Oth_SS_PRE_energy_pyrolysis</v>
      </c>
      <c r="N727" s="19"/>
    </row>
    <row r="728" spans="1:14" x14ac:dyDescent="0.2">
      <c r="A728" s="19"/>
      <c r="B728" s="220" t="s">
        <v>42</v>
      </c>
      <c r="C728" s="6" t="str">
        <f t="shared" si="118"/>
        <v>PET</v>
      </c>
      <c r="D728" t="s">
        <v>2057</v>
      </c>
      <c r="E728" s="33">
        <f>$C$677*E124</f>
        <v>0</v>
      </c>
      <c r="F728" t="s">
        <v>121</v>
      </c>
      <c r="G728" s="32" t="str">
        <f>$B$677&amp;" * "&amp;D124</f>
        <v>soft_energy * soft_PET_SS_PRE_mass_pyrolysis</v>
      </c>
      <c r="H728" s="220" t="s">
        <v>42</v>
      </c>
      <c r="I728" s="6" t="str">
        <f t="shared" si="119"/>
        <v>PET</v>
      </c>
      <c r="J728" t="s">
        <v>2027</v>
      </c>
      <c r="K728" s="33">
        <f t="shared" si="120"/>
        <v>0</v>
      </c>
      <c r="L728" t="s">
        <v>121</v>
      </c>
      <c r="M728" t="str">
        <f t="shared" si="121"/>
        <v>soft_PET_WG_SS_energy_pyrolysis - soft_PET_SS_PRE_energy_pyrolysis</v>
      </c>
      <c r="N728" s="19"/>
    </row>
    <row r="729" spans="1:14" x14ac:dyDescent="0.2">
      <c r="A729" s="19"/>
      <c r="B729" s="220"/>
      <c r="C729" s="6" t="str">
        <f t="shared" si="118"/>
        <v>PE</v>
      </c>
      <c r="D729" t="s">
        <v>2058</v>
      </c>
      <c r="E729" s="33">
        <f>$C$677*E125</f>
        <v>9290.0341799999987</v>
      </c>
      <c r="F729" t="s">
        <v>121</v>
      </c>
      <c r="G729" s="32" t="str">
        <f>$B$677&amp;" * "&amp;D125</f>
        <v>soft_energy * soft_PE_SS_PRE_mass_pyrolysis</v>
      </c>
      <c r="H729" s="220"/>
      <c r="I729" s="6" t="str">
        <f t="shared" si="119"/>
        <v>PE</v>
      </c>
      <c r="J729" t="s">
        <v>2028</v>
      </c>
      <c r="K729" s="33">
        <f t="shared" si="120"/>
        <v>1032.2260200000001</v>
      </c>
      <c r="L729" t="s">
        <v>121</v>
      </c>
      <c r="M729" t="str">
        <f t="shared" si="121"/>
        <v>soft_PE_WG_SS_energy_pyrolysis - soft_PE_SS_PRE_energy_pyrolysis</v>
      </c>
      <c r="N729" s="19"/>
    </row>
    <row r="730" spans="1:14" x14ac:dyDescent="0.2">
      <c r="A730" s="19"/>
      <c r="B730" s="220"/>
      <c r="C730" s="6" t="str">
        <f t="shared" si="118"/>
        <v>PP</v>
      </c>
      <c r="D730" t="s">
        <v>2059</v>
      </c>
      <c r="E730" s="33">
        <f>$C$677*E126</f>
        <v>0</v>
      </c>
      <c r="F730" t="s">
        <v>121</v>
      </c>
      <c r="G730" s="32" t="str">
        <f>$B$677&amp;" * "&amp;D126</f>
        <v>soft_energy * soft_PP_SS_PRE_mass_pyrolysis</v>
      </c>
      <c r="H730" s="220"/>
      <c r="I730" s="6" t="str">
        <f t="shared" si="119"/>
        <v>PP</v>
      </c>
      <c r="J730" t="s">
        <v>2029</v>
      </c>
      <c r="K730" s="33">
        <f t="shared" si="120"/>
        <v>0</v>
      </c>
      <c r="L730" t="s">
        <v>121</v>
      </c>
      <c r="M730" t="str">
        <f t="shared" si="121"/>
        <v>soft_PP_WG_SS_energy_pyrolysis - soft_PP_SS_PRE_energy_pyrolysis</v>
      </c>
      <c r="N730" s="19"/>
    </row>
    <row r="731" spans="1:14" x14ac:dyDescent="0.2">
      <c r="A731" s="19"/>
      <c r="B731" s="220"/>
      <c r="C731" s="6" t="str">
        <f t="shared" si="118"/>
        <v>PS</v>
      </c>
      <c r="D731" t="s">
        <v>2060</v>
      </c>
      <c r="E731" s="33">
        <f>$C$677*E127</f>
        <v>0</v>
      </c>
      <c r="F731" t="s">
        <v>121</v>
      </c>
      <c r="G731" s="32" t="str">
        <f>$B$677&amp;" * "&amp;D127</f>
        <v>soft_energy * soft_PS_SS_PRE_mass_pyrolysis</v>
      </c>
      <c r="H731" s="220"/>
      <c r="I731" s="6" t="str">
        <f t="shared" si="119"/>
        <v>PS</v>
      </c>
      <c r="J731" t="s">
        <v>2030</v>
      </c>
      <c r="K731" s="33">
        <f t="shared" si="120"/>
        <v>0</v>
      </c>
      <c r="L731" t="s">
        <v>121</v>
      </c>
      <c r="M731" t="str">
        <f t="shared" si="121"/>
        <v>soft_PS_WG_SS_energy_pyrolysis - soft_PS_SS_PRE_energy_pyrolysis</v>
      </c>
      <c r="N731" s="19"/>
    </row>
    <row r="732" spans="1:14" x14ac:dyDescent="0.2">
      <c r="A732" s="19"/>
      <c r="B732" s="227"/>
      <c r="C732" s="60" t="str">
        <f t="shared" si="118"/>
        <v>Other</v>
      </c>
      <c r="D732" s="44" t="s">
        <v>2061</v>
      </c>
      <c r="E732" s="62">
        <f>$C$677*E128</f>
        <v>3096.6780600000006</v>
      </c>
      <c r="F732" s="44" t="s">
        <v>121</v>
      </c>
      <c r="G732" s="32" t="str">
        <f>$B$677&amp;" * "&amp;D128</f>
        <v>soft_energy * soft_Oth_SS_PRE_mass_pyrolysis</v>
      </c>
      <c r="H732" s="220"/>
      <c r="I732" s="6" t="str">
        <f t="shared" si="119"/>
        <v>Other</v>
      </c>
      <c r="J732" t="s">
        <v>2031</v>
      </c>
      <c r="K732" s="33">
        <f t="shared" si="120"/>
        <v>344.07534000000032</v>
      </c>
      <c r="L732" t="s">
        <v>121</v>
      </c>
      <c r="M732" t="str">
        <f t="shared" si="121"/>
        <v>soft_Oth_WG_SS_energy_pyrolysis - soft_Oth_SS_PRE_energy_pyrolysis</v>
      </c>
      <c r="N732" s="19"/>
    </row>
    <row r="733" spans="1:14" ht="25" customHeight="1" x14ac:dyDescent="0.2">
      <c r="A733" s="19"/>
      <c r="B733" s="214" t="s">
        <v>55</v>
      </c>
      <c r="C733" s="214"/>
      <c r="D733" s="214"/>
      <c r="E733" s="214"/>
      <c r="F733" s="214"/>
      <c r="G733" s="214"/>
      <c r="H733" s="214"/>
      <c r="I733" s="214"/>
      <c r="J733" s="214"/>
      <c r="K733" s="214"/>
      <c r="L733" s="214"/>
      <c r="M733" s="214"/>
      <c r="N733" s="19"/>
    </row>
    <row r="734" spans="1:14" x14ac:dyDescent="0.2">
      <c r="A734" s="19"/>
      <c r="B734" s="2" t="s">
        <v>49</v>
      </c>
      <c r="C734" s="2" t="s">
        <v>3</v>
      </c>
      <c r="D734" s="2" t="s">
        <v>4</v>
      </c>
      <c r="E734" s="2" t="s">
        <v>7</v>
      </c>
      <c r="F734" s="2"/>
      <c r="G734" s="1"/>
      <c r="H734" s="2" t="str">
        <f>B734</f>
        <v>Parameter</v>
      </c>
      <c r="I734" s="2" t="str">
        <f>C734</f>
        <v>Value</v>
      </c>
      <c r="J734" s="2" t="str">
        <f>D734</f>
        <v>Unit</v>
      </c>
      <c r="K734" s="54" t="str">
        <f>E734</f>
        <v>Description</v>
      </c>
      <c r="L734" s="54"/>
      <c r="M734" s="54"/>
      <c r="N734" s="19"/>
    </row>
    <row r="735" spans="1:14" x14ac:dyDescent="0.2">
      <c r="A735" s="19"/>
      <c r="B735" t="s">
        <v>2044</v>
      </c>
      <c r="C735" s="33">
        <f>SUM(E718:E722)</f>
        <v>8829.8909999999996</v>
      </c>
      <c r="D735" t="s">
        <v>121</v>
      </c>
      <c r="E735" t="s">
        <v>2040</v>
      </c>
      <c r="G735" s="32"/>
      <c r="H735" t="s">
        <v>2036</v>
      </c>
      <c r="I735" s="33">
        <f>SUM(K718:K722)</f>
        <v>981.09900000000016</v>
      </c>
      <c r="J735" t="s">
        <v>121</v>
      </c>
      <c r="K735" t="s">
        <v>2032</v>
      </c>
      <c r="N735" s="19"/>
    </row>
    <row r="736" spans="1:14" x14ac:dyDescent="0.2">
      <c r="A736" s="19"/>
      <c r="B736" t="s">
        <v>2045</v>
      </c>
      <c r="C736" s="33">
        <f>SUM(E723:E727)</f>
        <v>6518.3183999999992</v>
      </c>
      <c r="D736" t="str">
        <f>D735</f>
        <v>MJ</v>
      </c>
      <c r="E736" t="s">
        <v>2041</v>
      </c>
      <c r="G736" s="32"/>
      <c r="H736" t="s">
        <v>2037</v>
      </c>
      <c r="I736" s="33">
        <f>SUM(K723:K727)</f>
        <v>724.25759999999968</v>
      </c>
      <c r="J736" t="str">
        <f>J735</f>
        <v>MJ</v>
      </c>
      <c r="K736" t="s">
        <v>2033</v>
      </c>
      <c r="N736" s="19"/>
    </row>
    <row r="737" spans="1:14" ht="16" thickBot="1" x14ac:dyDescent="0.25">
      <c r="A737" s="19"/>
      <c r="B737" s="8" t="s">
        <v>2046</v>
      </c>
      <c r="C737" s="34">
        <f>SUM(E728:E732)</f>
        <v>12386.712239999999</v>
      </c>
      <c r="D737" s="8" t="str">
        <f>D736</f>
        <v>MJ</v>
      </c>
      <c r="E737" s="8" t="s">
        <v>2042</v>
      </c>
      <c r="F737" s="8"/>
      <c r="G737" s="87"/>
      <c r="H737" s="8" t="s">
        <v>2038</v>
      </c>
      <c r="I737" s="34">
        <f>SUM(K728:K732)</f>
        <v>1376.3013600000004</v>
      </c>
      <c r="J737" s="8" t="str">
        <f>J736</f>
        <v>MJ</v>
      </c>
      <c r="K737" s="8" t="s">
        <v>2034</v>
      </c>
      <c r="L737" s="8"/>
      <c r="M737" s="8"/>
      <c r="N737" s="19"/>
    </row>
    <row r="738" spans="1:14" ht="16" thickTop="1" x14ac:dyDescent="0.2">
      <c r="A738" s="19"/>
      <c r="B738" s="44" t="s">
        <v>2047</v>
      </c>
      <c r="C738" s="62">
        <f>SUM(C735:C737)</f>
        <v>27734.92164</v>
      </c>
      <c r="D738" s="44" t="str">
        <f>D737</f>
        <v>MJ</v>
      </c>
      <c r="E738" s="44" t="s">
        <v>2043</v>
      </c>
      <c r="F738" s="44"/>
      <c r="G738" s="61"/>
      <c r="H738" s="44" t="s">
        <v>2039</v>
      </c>
      <c r="I738" s="62">
        <f>SUM(I735:I737)</f>
        <v>3081.6579600000005</v>
      </c>
      <c r="J738" s="44" t="str">
        <f>J737</f>
        <v>MJ</v>
      </c>
      <c r="K738" s="44" t="s">
        <v>2035</v>
      </c>
      <c r="L738" s="44"/>
      <c r="M738" s="44"/>
      <c r="N738" s="19"/>
    </row>
    <row r="739" spans="1:14" x14ac:dyDescent="0.2">
      <c r="A739" s="19"/>
      <c r="B739" s="19"/>
      <c r="C739" s="97"/>
      <c r="D739" s="19"/>
      <c r="E739" s="19"/>
      <c r="F739" s="19"/>
      <c r="G739" s="19"/>
      <c r="H739" s="19"/>
      <c r="I739" s="97"/>
      <c r="J739" s="19"/>
      <c r="K739" s="19"/>
      <c r="L739" s="19"/>
      <c r="M739" s="19"/>
      <c r="N739" s="19"/>
    </row>
    <row r="740" spans="1:14" x14ac:dyDescent="0.2">
      <c r="A740" s="19"/>
      <c r="B740" s="19"/>
      <c r="C740" s="97"/>
      <c r="D740" s="19"/>
      <c r="E740" s="19"/>
      <c r="F740" s="19"/>
      <c r="G740" s="19"/>
      <c r="H740" s="19"/>
      <c r="I740" s="97"/>
      <c r="J740" s="19"/>
      <c r="K740" s="19"/>
      <c r="L740" s="19"/>
      <c r="M740" s="19"/>
      <c r="N740" s="19"/>
    </row>
    <row r="741" spans="1:14" x14ac:dyDescent="0.2">
      <c r="A741" s="19"/>
      <c r="B741" s="18"/>
      <c r="C741" s="18"/>
      <c r="D741" s="18"/>
      <c r="E741" s="18"/>
      <c r="F741" s="18"/>
      <c r="G741" s="18"/>
      <c r="H741" s="18"/>
      <c r="I741" s="18"/>
      <c r="J741" s="18"/>
      <c r="K741" s="18"/>
      <c r="L741" s="18"/>
      <c r="M741" s="18"/>
      <c r="N741" s="19"/>
    </row>
    <row r="742" spans="1:14" x14ac:dyDescent="0.2">
      <c r="A742" s="19"/>
      <c r="B742" s="21"/>
      <c r="C742" s="41"/>
      <c r="D742" s="41"/>
      <c r="E742" s="21"/>
      <c r="F742" s="41"/>
      <c r="G742" s="41"/>
      <c r="H742" s="21"/>
      <c r="I742" s="21"/>
      <c r="J742" s="21"/>
      <c r="K742" s="21"/>
      <c r="L742" s="41"/>
      <c r="M742" s="41"/>
      <c r="N742" s="19"/>
    </row>
    <row r="743" spans="1:14" ht="25" customHeight="1" x14ac:dyDescent="0.2">
      <c r="A743" s="19"/>
      <c r="B743" s="214" t="str">
        <f>B462</f>
        <v>Presorting (PRE)</v>
      </c>
      <c r="C743" s="214"/>
      <c r="D743" s="214"/>
      <c r="E743" s="214"/>
      <c r="F743" s="214"/>
      <c r="G743" s="214"/>
      <c r="H743" s="214"/>
      <c r="I743" s="214"/>
      <c r="J743" s="214"/>
      <c r="K743" s="214"/>
      <c r="L743" s="214"/>
      <c r="M743" s="214"/>
      <c r="N743" s="19"/>
    </row>
    <row r="744" spans="1:14" ht="25" customHeight="1" x14ac:dyDescent="0.2">
      <c r="A744" s="19"/>
      <c r="B744" s="239" t="str">
        <f>B463</f>
        <v>Output from presorting (PRE)</v>
      </c>
      <c r="C744" s="239"/>
      <c r="D744" s="239"/>
      <c r="E744" s="239"/>
      <c r="F744" s="239"/>
      <c r="G744" s="239"/>
      <c r="H744" s="239"/>
      <c r="I744" s="239"/>
      <c r="J744" s="239"/>
      <c r="K744" s="239"/>
      <c r="L744" s="239"/>
      <c r="M744" s="239"/>
      <c r="N744" s="19"/>
    </row>
    <row r="745" spans="1:14" ht="25" customHeight="1" x14ac:dyDescent="0.2">
      <c r="A745" s="19"/>
      <c r="B745" s="239" t="str">
        <f>B464</f>
        <v>To pyrolysis (PYRO)</v>
      </c>
      <c r="C745" s="239"/>
      <c r="D745" s="239"/>
      <c r="E745" s="239"/>
      <c r="F745" s="239"/>
      <c r="G745" s="240"/>
      <c r="H745" s="239" t="str">
        <f>H464</f>
        <v>To inceneration (INC)</v>
      </c>
      <c r="I745" s="239"/>
      <c r="J745" s="239"/>
      <c r="K745" s="239"/>
      <c r="L745" s="239"/>
      <c r="M745" s="239"/>
      <c r="N745" s="19"/>
    </row>
    <row r="746" spans="1:14" x14ac:dyDescent="0.2">
      <c r="A746" s="19"/>
      <c r="B746" s="2" t="s">
        <v>21</v>
      </c>
      <c r="C746" s="3" t="s">
        <v>20</v>
      </c>
      <c r="D746" s="2" t="s">
        <v>99</v>
      </c>
      <c r="E746" s="2" t="s">
        <v>3</v>
      </c>
      <c r="F746" s="2" t="s">
        <v>4</v>
      </c>
      <c r="G746" s="4" t="s">
        <v>43</v>
      </c>
      <c r="H746" s="2" t="s">
        <v>21</v>
      </c>
      <c r="I746" s="3" t="s">
        <v>20</v>
      </c>
      <c r="J746" s="2" t="str">
        <f>D746</f>
        <v>Name</v>
      </c>
      <c r="K746" s="2" t="s">
        <v>3</v>
      </c>
      <c r="L746" s="2" t="s">
        <v>4</v>
      </c>
      <c r="M746" s="2" t="s">
        <v>43</v>
      </c>
      <c r="N746" s="19"/>
    </row>
    <row r="747" spans="1:14" x14ac:dyDescent="0.2">
      <c r="A747" s="19"/>
      <c r="B747" s="220" t="s">
        <v>14</v>
      </c>
      <c r="C747" s="6" t="str">
        <f t="shared" ref="C747:C761" si="122">C718</f>
        <v>PET</v>
      </c>
      <c r="D747" t="s">
        <v>2089</v>
      </c>
      <c r="E747">
        <f>$C$675*E155</f>
        <v>6099.3943730999999</v>
      </c>
      <c r="F747" t="s">
        <v>121</v>
      </c>
      <c r="G747" s="32" t="str">
        <f>$B$675&amp;" * "&amp;D155</f>
        <v>bottle_energy * bottle_PET_PRE_PYRO_mass_pyrolysis</v>
      </c>
      <c r="H747" s="220" t="s">
        <v>14</v>
      </c>
      <c r="I747" s="6" t="str">
        <f>C747</f>
        <v>PET</v>
      </c>
      <c r="J747" t="s">
        <v>2066</v>
      </c>
      <c r="K747" s="33">
        <f>E718-E747</f>
        <v>670.18872689999989</v>
      </c>
      <c r="L747" t="s">
        <v>121</v>
      </c>
      <c r="M747" t="str">
        <f>D718&amp;" - "&amp;D747</f>
        <v>bottle_PET_WG_SS_energy_pyrolysis - bottle_PET_PRE_PYRO_energy_pyrolysis</v>
      </c>
      <c r="N747" s="19" t="s">
        <v>1005</v>
      </c>
    </row>
    <row r="748" spans="1:14" x14ac:dyDescent="0.2">
      <c r="A748" s="19"/>
      <c r="B748" s="220"/>
      <c r="C748" s="6" t="str">
        <f t="shared" si="122"/>
        <v>PE</v>
      </c>
      <c r="D748" t="s">
        <v>2090</v>
      </c>
      <c r="E748">
        <f>$C$675*E156</f>
        <v>1856.3374178999998</v>
      </c>
      <c r="F748" t="s">
        <v>121</v>
      </c>
      <c r="G748" s="32" t="str">
        <f>$B$675&amp;" * "&amp;D156</f>
        <v>bottle_energy * bottle_PE_PRE_PYRO_mass_pyrolysis</v>
      </c>
      <c r="H748" s="220"/>
      <c r="I748" s="6" t="str">
        <f t="shared" ref="I748:I761" si="123">C748</f>
        <v>PE</v>
      </c>
      <c r="J748" t="s">
        <v>2067</v>
      </c>
      <c r="K748" s="33">
        <f t="shared" ref="K748:K761" si="124">E719-E748</f>
        <v>203.97048210000003</v>
      </c>
      <c r="L748" t="s">
        <v>121</v>
      </c>
      <c r="M748" t="str">
        <f t="shared" ref="M748:M761" si="125">D719&amp;" - "&amp;D748</f>
        <v>bottle_PE_SS_PRE_energy_pyrolysis - bottle_PE_PRE_PYRO_energy_pyrolysis</v>
      </c>
      <c r="N748" s="19" t="s">
        <v>1005</v>
      </c>
    </row>
    <row r="749" spans="1:14" x14ac:dyDescent="0.2">
      <c r="A749" s="19"/>
      <c r="B749" s="220"/>
      <c r="C749" s="6" t="str">
        <f t="shared" si="122"/>
        <v>PP</v>
      </c>
      <c r="D749" t="s">
        <v>2091</v>
      </c>
      <c r="E749">
        <f>$C$675*E157</f>
        <v>0</v>
      </c>
      <c r="F749" t="s">
        <v>121</v>
      </c>
      <c r="G749" s="32" t="str">
        <f>$B$675&amp;" * "&amp;D157</f>
        <v>bottle_energy * bottle_PP_PRE_PYRO_mass_pyrolysis</v>
      </c>
      <c r="H749" s="220"/>
      <c r="I749" s="6" t="str">
        <f t="shared" si="123"/>
        <v>PP</v>
      </c>
      <c r="J749" t="s">
        <v>2068</v>
      </c>
      <c r="K749" s="33">
        <f t="shared" si="124"/>
        <v>0</v>
      </c>
      <c r="L749" t="s">
        <v>121</v>
      </c>
      <c r="M749" t="str">
        <f t="shared" si="125"/>
        <v>bottle_PP_SS_PRE_energy_pyrolysis - bottle_PP_PRE_PYRO_energy_pyrolysis</v>
      </c>
      <c r="N749" s="19" t="s">
        <v>1005</v>
      </c>
    </row>
    <row r="750" spans="1:14" x14ac:dyDescent="0.2">
      <c r="A750" s="19"/>
      <c r="B750" s="220"/>
      <c r="C750" s="6" t="str">
        <f t="shared" si="122"/>
        <v>PS</v>
      </c>
      <c r="D750" t="s">
        <v>2092</v>
      </c>
      <c r="E750">
        <f>$C$675*E158</f>
        <v>0</v>
      </c>
      <c r="F750" t="s">
        <v>121</v>
      </c>
      <c r="G750" s="32" t="str">
        <f>$B$675&amp;" * "&amp;D158</f>
        <v>bottle_energy * bottle_PS_PRE_PYRO_mass_pyrolysis</v>
      </c>
      <c r="H750" s="220"/>
      <c r="I750" s="6" t="str">
        <f t="shared" si="123"/>
        <v>PS</v>
      </c>
      <c r="J750" t="s">
        <v>2069</v>
      </c>
      <c r="K750" s="33">
        <f t="shared" si="124"/>
        <v>0</v>
      </c>
      <c r="L750" t="s">
        <v>121</v>
      </c>
      <c r="M750" t="str">
        <f t="shared" si="125"/>
        <v>bottle_PS_SS_PRE_energy_pyrolysis - bottle_PS_PRE_PYRO_energy_pyrolysis</v>
      </c>
      <c r="N750" s="19" t="s">
        <v>1005</v>
      </c>
    </row>
    <row r="751" spans="1:14" x14ac:dyDescent="0.2">
      <c r="A751" s="19"/>
      <c r="B751" s="220"/>
      <c r="C751" s="6" t="str">
        <f t="shared" si="122"/>
        <v>Other</v>
      </c>
      <c r="D751" t="s">
        <v>2093</v>
      </c>
      <c r="E751">
        <f>$C$675*E159</f>
        <v>0</v>
      </c>
      <c r="F751" t="s">
        <v>121</v>
      </c>
      <c r="G751" s="32" t="str">
        <f>$B$675&amp;" * "&amp;D159</f>
        <v>bottle_energy * bottle_Oth_PRE_PYRO_mass_pyrolysis</v>
      </c>
      <c r="H751" s="220"/>
      <c r="I751" s="6" t="str">
        <f t="shared" si="123"/>
        <v>Other</v>
      </c>
      <c r="J751" t="s">
        <v>2070</v>
      </c>
      <c r="K751" s="33">
        <f t="shared" si="124"/>
        <v>0</v>
      </c>
      <c r="L751" t="s">
        <v>121</v>
      </c>
      <c r="M751" t="str">
        <f t="shared" si="125"/>
        <v>bottle_Oth_SS_PRE_energy_pyrolysis - bottle_Oth_PRE_PYRO_energy_pyrolysis</v>
      </c>
      <c r="N751" s="19" t="s">
        <v>1005</v>
      </c>
    </row>
    <row r="752" spans="1:14" x14ac:dyDescent="0.2">
      <c r="A752" s="19"/>
      <c r="B752" s="220" t="s">
        <v>15</v>
      </c>
      <c r="C752" s="6" t="str">
        <f t="shared" si="122"/>
        <v>PET</v>
      </c>
      <c r="D752" t="s">
        <v>2094</v>
      </c>
      <c r="E752">
        <f>$C$676*E160</f>
        <v>1174.6009756799999</v>
      </c>
      <c r="F752" t="s">
        <v>121</v>
      </c>
      <c r="G752" s="32" t="str">
        <f>$B$676&amp;" * "&amp;D160</f>
        <v>rigid_energy * rigid_PET_PRE_PYRO_mass_pyrolysis</v>
      </c>
      <c r="H752" s="220" t="s">
        <v>15</v>
      </c>
      <c r="I752" s="6" t="str">
        <f t="shared" si="123"/>
        <v>PET</v>
      </c>
      <c r="J752" t="s">
        <v>2071</v>
      </c>
      <c r="K752" s="33">
        <f t="shared" si="124"/>
        <v>129.06270431999997</v>
      </c>
      <c r="L752" t="s">
        <v>121</v>
      </c>
      <c r="M752" t="str">
        <f t="shared" si="125"/>
        <v>rigid_PET_SS_PRE_energy_pyrolysis - rigid_PET_PRE_PYRO_energy_pyrolysis</v>
      </c>
      <c r="N752" s="19" t="s">
        <v>1005</v>
      </c>
    </row>
    <row r="753" spans="1:14" x14ac:dyDescent="0.2">
      <c r="A753" s="19"/>
      <c r="B753" s="220"/>
      <c r="C753" s="6" t="str">
        <f t="shared" si="122"/>
        <v>PE</v>
      </c>
      <c r="D753" t="s">
        <v>2095</v>
      </c>
      <c r="E753">
        <f>$C$676*E161</f>
        <v>880.95073176000005</v>
      </c>
      <c r="F753" t="s">
        <v>121</v>
      </c>
      <c r="G753" s="32" t="str">
        <f>$B$676&amp;" * "&amp;D161</f>
        <v>rigid_energy * rigid_PE_PRE_PYRO_mass_pyrolysis</v>
      </c>
      <c r="H753" s="220"/>
      <c r="I753" s="6" t="str">
        <f t="shared" si="123"/>
        <v>PE</v>
      </c>
      <c r="J753" t="s">
        <v>2072</v>
      </c>
      <c r="K753" s="33">
        <f t="shared" si="124"/>
        <v>96.797028239999918</v>
      </c>
      <c r="L753" t="s">
        <v>121</v>
      </c>
      <c r="M753" t="str">
        <f t="shared" si="125"/>
        <v>rigid_PE_SS_PRE_energy_pyrolysis - rigid_PE_PRE_PYRO_energy_pyrolysis</v>
      </c>
      <c r="N753" s="19" t="s">
        <v>1005</v>
      </c>
    </row>
    <row r="754" spans="1:14" x14ac:dyDescent="0.2">
      <c r="A754" s="19"/>
      <c r="B754" s="220"/>
      <c r="C754" s="6" t="str">
        <f t="shared" si="122"/>
        <v>PP</v>
      </c>
      <c r="D754" t="s">
        <v>2096</v>
      </c>
      <c r="E754">
        <f>$C$676*E162</f>
        <v>1934.6369011199999</v>
      </c>
      <c r="F754" t="s">
        <v>121</v>
      </c>
      <c r="G754" s="32" t="str">
        <f>$B$676&amp;" * "&amp;D162</f>
        <v>rigid_energy * rigid_PP_PRE_PYRO_mass_pyrolysis</v>
      </c>
      <c r="H754" s="220"/>
      <c r="I754" s="6" t="str">
        <f t="shared" si="123"/>
        <v>PP</v>
      </c>
      <c r="J754" t="s">
        <v>2073</v>
      </c>
      <c r="K754" s="33">
        <f t="shared" si="124"/>
        <v>346.77453887999991</v>
      </c>
      <c r="L754" t="s">
        <v>121</v>
      </c>
      <c r="M754" t="str">
        <f t="shared" si="125"/>
        <v>rigid_PP_SS_PRE_energy_pyrolysis - rigid_PP_PRE_PYRO_energy_pyrolysis</v>
      </c>
      <c r="N754" s="19" t="s">
        <v>1005</v>
      </c>
    </row>
    <row r="755" spans="1:14" x14ac:dyDescent="0.2">
      <c r="A755" s="19"/>
      <c r="B755" s="220"/>
      <c r="C755" s="6" t="str">
        <f t="shared" si="122"/>
        <v>PS</v>
      </c>
      <c r="D755" t="s">
        <v>2097</v>
      </c>
      <c r="E755">
        <f>$C$676*E163</f>
        <v>293.65024391999998</v>
      </c>
      <c r="F755" t="s">
        <v>121</v>
      </c>
      <c r="G755" s="32" t="str">
        <f>$B$676&amp;" * "&amp;D163</f>
        <v>rigid_energy * rigid_PS_PRE_PYRO_mass_pyrolysis</v>
      </c>
      <c r="H755" s="220"/>
      <c r="I755" s="6" t="str">
        <f t="shared" si="123"/>
        <v>PS</v>
      </c>
      <c r="J755" t="s">
        <v>2074</v>
      </c>
      <c r="K755" s="33">
        <f t="shared" si="124"/>
        <v>32.265676079999992</v>
      </c>
      <c r="L755" t="s">
        <v>121</v>
      </c>
      <c r="M755" t="str">
        <f t="shared" si="125"/>
        <v>rigid_PS_SS_PRE_energy_pyrolysis - rigid_PS_PRE_PYRO_energy_pyrolysis</v>
      </c>
      <c r="N755" s="19" t="s">
        <v>1005</v>
      </c>
    </row>
    <row r="756" spans="1:14" x14ac:dyDescent="0.2">
      <c r="A756" s="19"/>
      <c r="B756" s="220"/>
      <c r="C756" s="6" t="str">
        <f t="shared" si="122"/>
        <v>Other</v>
      </c>
      <c r="D756" t="s">
        <v>2098</v>
      </c>
      <c r="E756">
        <f>$C$676*E164</f>
        <v>1468.2512195999996</v>
      </c>
      <c r="F756" t="s">
        <v>121</v>
      </c>
      <c r="G756" s="32" t="str">
        <f>$B$676&amp;" * "&amp;D164</f>
        <v>rigid_energy * rigid_Oth_PRE_PYRO_mass_pyrolysis</v>
      </c>
      <c r="H756" s="220"/>
      <c r="I756" s="6" t="str">
        <f t="shared" si="123"/>
        <v>Other</v>
      </c>
      <c r="J756" t="s">
        <v>2075</v>
      </c>
      <c r="K756" s="33">
        <f t="shared" si="124"/>
        <v>161.32838039999979</v>
      </c>
      <c r="L756" t="s">
        <v>121</v>
      </c>
      <c r="M756" t="str">
        <f t="shared" si="125"/>
        <v>rigid_Oth_SS_PRE_energy_pyrolysis - rigid_Oth_PRE_PYRO_energy_pyrolysis</v>
      </c>
      <c r="N756" s="19" t="s">
        <v>1005</v>
      </c>
    </row>
    <row r="757" spans="1:14" x14ac:dyDescent="0.2">
      <c r="A757" s="19"/>
      <c r="B757" s="220" t="s">
        <v>42</v>
      </c>
      <c r="C757" s="6" t="str">
        <f t="shared" si="122"/>
        <v>PET</v>
      </c>
      <c r="D757" t="s">
        <v>2099</v>
      </c>
      <c r="E757">
        <f>$C$677*E165</f>
        <v>0</v>
      </c>
      <c r="F757" t="s">
        <v>121</v>
      </c>
      <c r="G757" s="32" t="str">
        <f>$B$677&amp;" * "&amp;D165</f>
        <v>soft_energy * soft_PET_PRE_PYRO_mass_pyrolysis</v>
      </c>
      <c r="H757" s="220" t="s">
        <v>42</v>
      </c>
      <c r="I757" s="6" t="str">
        <f t="shared" si="123"/>
        <v>PET</v>
      </c>
      <c r="J757" t="s">
        <v>2076</v>
      </c>
      <c r="K757" s="33">
        <f t="shared" si="124"/>
        <v>0</v>
      </c>
      <c r="L757" t="s">
        <v>121</v>
      </c>
      <c r="M757" t="str">
        <f t="shared" si="125"/>
        <v>soft_PET_SS_PRE_energy_pyrolysis - soft_PET_PRE_PYRO_energy_pyrolysis</v>
      </c>
      <c r="N757" s="19" t="s">
        <v>1005</v>
      </c>
    </row>
    <row r="758" spans="1:14" x14ac:dyDescent="0.2">
      <c r="A758" s="19"/>
      <c r="B758" s="220"/>
      <c r="C758" s="6" t="str">
        <f t="shared" si="122"/>
        <v>PE</v>
      </c>
      <c r="D758" t="s">
        <v>2100</v>
      </c>
      <c r="E758">
        <f>$C$677*E166</f>
        <v>7506.3476174400002</v>
      </c>
      <c r="F758" t="s">
        <v>121</v>
      </c>
      <c r="G758" s="32" t="str">
        <f>$B$677&amp;" * "&amp;D166</f>
        <v>soft_energy * soft_PE_PRE_PYRO_mass_pyrolysis</v>
      </c>
      <c r="H758" s="220"/>
      <c r="I758" s="6" t="str">
        <f t="shared" si="123"/>
        <v>PE</v>
      </c>
      <c r="J758" t="s">
        <v>2077</v>
      </c>
      <c r="K758" s="33">
        <f t="shared" si="124"/>
        <v>1783.6865625599985</v>
      </c>
      <c r="L758" t="s">
        <v>121</v>
      </c>
      <c r="M758" t="str">
        <f t="shared" si="125"/>
        <v>soft_PE_SS_PRE_energy_pyrolysis - soft_PE_PRE_PYRO_energy_pyrolysis</v>
      </c>
      <c r="N758" s="19" t="s">
        <v>1005</v>
      </c>
    </row>
    <row r="759" spans="1:14" x14ac:dyDescent="0.2">
      <c r="A759" s="19"/>
      <c r="B759" s="220"/>
      <c r="C759" s="6" t="str">
        <f t="shared" si="122"/>
        <v>PP</v>
      </c>
      <c r="D759" t="s">
        <v>2101</v>
      </c>
      <c r="E759">
        <f>$C$677*E167</f>
        <v>0</v>
      </c>
      <c r="F759" t="s">
        <v>121</v>
      </c>
      <c r="G759" s="32" t="str">
        <f>$B$677&amp;" * "&amp;D167</f>
        <v>soft_energy * soft_PP_PRE_PYRO_mass_pyrolysis</v>
      </c>
      <c r="H759" s="220"/>
      <c r="I759" s="6" t="str">
        <f t="shared" si="123"/>
        <v>PP</v>
      </c>
      <c r="J759" t="s">
        <v>2078</v>
      </c>
      <c r="K759" s="33">
        <f t="shared" si="124"/>
        <v>0</v>
      </c>
      <c r="L759" t="s">
        <v>121</v>
      </c>
      <c r="M759" t="str">
        <f t="shared" si="125"/>
        <v>soft_PP_SS_PRE_energy_pyrolysis - soft_PP_PRE_PYRO_energy_pyrolysis</v>
      </c>
      <c r="N759" s="19" t="s">
        <v>1005</v>
      </c>
    </row>
    <row r="760" spans="1:14" x14ac:dyDescent="0.2">
      <c r="A760" s="19"/>
      <c r="B760" s="220"/>
      <c r="C760" s="6" t="str">
        <f t="shared" si="122"/>
        <v>PS</v>
      </c>
      <c r="D760" t="s">
        <v>2102</v>
      </c>
      <c r="E760">
        <f>$C$677*E168</f>
        <v>0</v>
      </c>
      <c r="F760" t="s">
        <v>121</v>
      </c>
      <c r="G760" s="32" t="str">
        <f>$B$677&amp;" * "&amp;D168</f>
        <v>soft_energy * soft_PS_PRE_PYRO_mass_pyrolysis</v>
      </c>
      <c r="H760" s="220"/>
      <c r="I760" s="6" t="str">
        <f t="shared" si="123"/>
        <v>PS</v>
      </c>
      <c r="J760" t="s">
        <v>2079</v>
      </c>
      <c r="K760" s="33">
        <f t="shared" si="124"/>
        <v>0</v>
      </c>
      <c r="L760" t="s">
        <v>121</v>
      </c>
      <c r="M760" t="str">
        <f t="shared" si="125"/>
        <v>soft_PS_SS_PRE_energy_pyrolysis - soft_PS_PRE_PYRO_energy_pyrolysis</v>
      </c>
      <c r="N760" s="19" t="s">
        <v>1005</v>
      </c>
    </row>
    <row r="761" spans="1:14" x14ac:dyDescent="0.2">
      <c r="A761" s="19"/>
      <c r="B761" s="227"/>
      <c r="C761" s="60" t="str">
        <f t="shared" si="122"/>
        <v>Other</v>
      </c>
      <c r="D761" s="44" t="s">
        <v>2103</v>
      </c>
      <c r="E761" s="44">
        <f>$C$677*E169</f>
        <v>2790.1069320600009</v>
      </c>
      <c r="F761" s="44" t="s">
        <v>121</v>
      </c>
      <c r="G761" s="32" t="str">
        <f>$B$677&amp;" * "&amp;D169</f>
        <v>soft_energy * soft_Oth_PRE_PYRO_mass_pyrolysis</v>
      </c>
      <c r="H761" s="220"/>
      <c r="I761" s="6" t="str">
        <f t="shared" si="123"/>
        <v>Other</v>
      </c>
      <c r="J761" t="s">
        <v>2080</v>
      </c>
      <c r="K761" s="33">
        <f t="shared" si="124"/>
        <v>306.57112793999977</v>
      </c>
      <c r="L761" t="s">
        <v>121</v>
      </c>
      <c r="M761" t="str">
        <f t="shared" si="125"/>
        <v>soft_Oth_SS_PRE_energy_pyrolysis - soft_Oth_PRE_PYRO_energy_pyrolysis</v>
      </c>
      <c r="N761" s="19" t="s">
        <v>1005</v>
      </c>
    </row>
    <row r="762" spans="1:14" ht="25" customHeight="1" x14ac:dyDescent="0.2">
      <c r="A762" s="19"/>
      <c r="B762" s="214" t="s">
        <v>45</v>
      </c>
      <c r="C762" s="214"/>
      <c r="D762" s="214"/>
      <c r="E762" s="214"/>
      <c r="F762" s="214"/>
      <c r="G762" s="214"/>
      <c r="H762" s="214"/>
      <c r="I762" s="214"/>
      <c r="J762" s="214"/>
      <c r="K762" s="214"/>
      <c r="L762" s="214"/>
      <c r="M762" s="214"/>
      <c r="N762" s="19"/>
    </row>
    <row r="763" spans="1:14" x14ac:dyDescent="0.2">
      <c r="A763" s="19"/>
      <c r="B763" s="53" t="s">
        <v>46</v>
      </c>
      <c r="C763" s="10" t="s">
        <v>3</v>
      </c>
      <c r="D763" s="10" t="s">
        <v>4</v>
      </c>
      <c r="E763" s="53" t="s">
        <v>7</v>
      </c>
      <c r="F763" s="10"/>
      <c r="G763" s="40"/>
      <c r="H763" s="53" t="s">
        <v>49</v>
      </c>
      <c r="I763" s="53" t="s">
        <v>3</v>
      </c>
      <c r="J763" s="53" t="s">
        <v>4</v>
      </c>
      <c r="K763" s="53" t="s">
        <v>7</v>
      </c>
      <c r="L763" s="10"/>
      <c r="M763" s="10"/>
      <c r="N763" s="19"/>
    </row>
    <row r="764" spans="1:14" x14ac:dyDescent="0.2">
      <c r="A764" s="19"/>
      <c r="B764" t="s">
        <v>2104</v>
      </c>
      <c r="C764">
        <f>SUM(E747:E751)</f>
        <v>7955.7317910000002</v>
      </c>
      <c r="D764" t="s">
        <v>121</v>
      </c>
      <c r="E764" t="s">
        <v>2085</v>
      </c>
      <c r="F764" s="2"/>
      <c r="G764" s="4"/>
      <c r="H764" t="s">
        <v>2081</v>
      </c>
      <c r="I764" s="33">
        <f>SUM(K747:K751)</f>
        <v>874.15920899999992</v>
      </c>
      <c r="J764" t="s">
        <v>121</v>
      </c>
      <c r="K764" t="s">
        <v>2062</v>
      </c>
      <c r="L764" s="2"/>
      <c r="M764" s="2"/>
      <c r="N764" s="19"/>
    </row>
    <row r="765" spans="1:14" x14ac:dyDescent="0.2">
      <c r="A765" s="19"/>
      <c r="B765" t="s">
        <v>2105</v>
      </c>
      <c r="C765">
        <f>SUM(E752:E756)</f>
        <v>5752.09007208</v>
      </c>
      <c r="D765" t="str">
        <f>D764</f>
        <v>MJ</v>
      </c>
      <c r="E765" t="s">
        <v>2086</v>
      </c>
      <c r="F765" s="2"/>
      <c r="G765" s="4"/>
      <c r="H765" t="s">
        <v>2082</v>
      </c>
      <c r="I765">
        <f>SUM(K752:K756)</f>
        <v>766.22832791999963</v>
      </c>
      <c r="J765" t="str">
        <f>J764</f>
        <v>MJ</v>
      </c>
      <c r="K765" t="s">
        <v>2063</v>
      </c>
      <c r="L765" s="2"/>
      <c r="M765" s="2"/>
      <c r="N765" s="19"/>
    </row>
    <row r="766" spans="1:14" ht="16" thickBot="1" x14ac:dyDescent="0.25">
      <c r="A766" s="19"/>
      <c r="B766" s="8" t="s">
        <v>2106</v>
      </c>
      <c r="C766" s="8">
        <f>SUM(E757:E761)</f>
        <v>10296.454549500002</v>
      </c>
      <c r="D766" s="8" t="str">
        <f>D765</f>
        <v>MJ</v>
      </c>
      <c r="E766" s="8" t="s">
        <v>2087</v>
      </c>
      <c r="F766" s="37"/>
      <c r="G766" s="38"/>
      <c r="H766" s="8" t="s">
        <v>2083</v>
      </c>
      <c r="I766" s="8">
        <f>SUM(K757:K761)</f>
        <v>2090.2576904999983</v>
      </c>
      <c r="J766" s="8" t="s">
        <v>121</v>
      </c>
      <c r="K766" s="8" t="s">
        <v>2064</v>
      </c>
      <c r="L766" s="37"/>
      <c r="M766" s="37"/>
      <c r="N766" s="19"/>
    </row>
    <row r="767" spans="1:14" ht="16" thickTop="1" x14ac:dyDescent="0.2">
      <c r="A767" s="19"/>
      <c r="B767" s="44" t="s">
        <v>2107</v>
      </c>
      <c r="C767" s="44">
        <f>SUM(C764:C766)</f>
        <v>24004.276412580002</v>
      </c>
      <c r="D767" s="44" t="s">
        <v>121</v>
      </c>
      <c r="E767" s="44" t="s">
        <v>2088</v>
      </c>
      <c r="F767" s="56"/>
      <c r="G767" s="57"/>
      <c r="H767" s="44" t="s">
        <v>2084</v>
      </c>
      <c r="I767" s="44">
        <f>SUM(I764:I766)</f>
        <v>3730.6452274199978</v>
      </c>
      <c r="J767" s="44" t="s">
        <v>121</v>
      </c>
      <c r="K767" s="44" t="s">
        <v>2065</v>
      </c>
      <c r="L767" s="56"/>
      <c r="M767" s="56"/>
      <c r="N767" s="19"/>
    </row>
    <row r="768" spans="1:14" x14ac:dyDescent="0.2">
      <c r="A768" s="19"/>
      <c r="B768" s="19"/>
      <c r="C768" s="74"/>
      <c r="D768" s="19"/>
      <c r="E768" s="19"/>
      <c r="F768" s="19"/>
      <c r="G768" s="19"/>
      <c r="H768" s="19"/>
      <c r="I768" s="74"/>
      <c r="J768" s="19"/>
      <c r="K768" s="19"/>
      <c r="L768" s="19"/>
      <c r="M768" s="19"/>
      <c r="N768" s="19"/>
    </row>
    <row r="769" spans="1:14" x14ac:dyDescent="0.2">
      <c r="A769" s="19"/>
      <c r="B769" s="19"/>
      <c r="C769" s="74"/>
      <c r="D769" s="19"/>
      <c r="E769" s="19"/>
      <c r="F769" s="19"/>
      <c r="G769" s="19"/>
      <c r="H769" s="19"/>
      <c r="I769" s="74"/>
      <c r="J769" s="19"/>
      <c r="K769" s="19"/>
      <c r="L769" s="19"/>
      <c r="M769" s="19"/>
      <c r="N769" s="19"/>
    </row>
    <row r="770" spans="1:14" x14ac:dyDescent="0.2">
      <c r="A770" s="19"/>
      <c r="B770" s="19"/>
      <c r="C770" s="74"/>
      <c r="D770" s="19"/>
      <c r="E770" s="19"/>
      <c r="F770" s="19"/>
      <c r="G770" s="19"/>
      <c r="H770" s="19"/>
      <c r="I770" s="74"/>
      <c r="J770" s="19"/>
      <c r="K770" s="19"/>
      <c r="L770" s="19"/>
      <c r="M770" s="19"/>
      <c r="N770" s="19"/>
    </row>
    <row r="771" spans="1:14" x14ac:dyDescent="0.2">
      <c r="A771" s="19"/>
      <c r="B771" s="19"/>
      <c r="C771" s="74"/>
      <c r="D771" s="19"/>
      <c r="E771" s="19"/>
      <c r="F771" s="19"/>
      <c r="G771" s="19"/>
      <c r="H771" s="19"/>
      <c r="I771" s="74"/>
      <c r="J771" s="19"/>
      <c r="K771" s="19"/>
      <c r="L771" s="19"/>
      <c r="M771" s="19"/>
      <c r="N771" s="19"/>
    </row>
    <row r="772" spans="1:14" ht="25" customHeight="1" x14ac:dyDescent="0.2">
      <c r="A772" s="19"/>
      <c r="B772" s="232" t="str">
        <f>B491</f>
        <v>Pyrolysis (PYRO) / Glycolysis (GLYCO)</v>
      </c>
      <c r="C772" s="232"/>
      <c r="D772" s="232"/>
      <c r="E772" s="232"/>
      <c r="F772" s="232"/>
      <c r="G772" s="232"/>
      <c r="H772" s="232"/>
      <c r="I772" s="232"/>
      <c r="J772" s="232"/>
      <c r="K772" s="232"/>
      <c r="L772" s="232"/>
      <c r="M772" s="232"/>
      <c r="N772" s="19"/>
    </row>
    <row r="773" spans="1:14" ht="16.5" customHeight="1" x14ac:dyDescent="0.2">
      <c r="A773" s="19"/>
      <c r="B773" s="114" t="s">
        <v>2</v>
      </c>
      <c r="C773" s="114" t="s">
        <v>3</v>
      </c>
      <c r="D773" s="114" t="s">
        <v>4</v>
      </c>
      <c r="E773" s="114" t="s">
        <v>5</v>
      </c>
      <c r="F773" s="114" t="s">
        <v>6</v>
      </c>
      <c r="G773" s="114" t="s">
        <v>7</v>
      </c>
      <c r="H773" s="114" t="s">
        <v>112</v>
      </c>
      <c r="I773" s="164"/>
      <c r="J773" s="164"/>
      <c r="K773" s="164"/>
      <c r="L773" s="164"/>
      <c r="M773" s="164"/>
      <c r="N773" s="19"/>
    </row>
    <row r="774" spans="1:14" ht="16.5" customHeight="1" x14ac:dyDescent="0.2">
      <c r="A774" s="19"/>
      <c r="B774" s="167" t="str">
        <f>'info, structure, parameters'!A253</f>
        <v>PYRO_energy_PE_pyrolysis</v>
      </c>
      <c r="C774" s="167">
        <f>'info, structure, parameters'!B253</f>
        <v>9.8824000000000005</v>
      </c>
      <c r="D774" s="167" t="str">
        <f>'info, structure, parameters'!C253</f>
        <v>MJ/kg PE</v>
      </c>
      <c r="E774" s="167">
        <f>'info, structure, parameters'!D253</f>
        <v>2.3120567375886525</v>
      </c>
      <c r="F774" s="167">
        <f>'info, structure, parameters'!E253</f>
        <v>9.8824000000000005</v>
      </c>
      <c r="G774" s="167" t="str">
        <f>'info, structure, parameters'!F253</f>
        <v>Amount of energy inputted during pyrolysis of 1 kg of PET</v>
      </c>
      <c r="H774" s="167">
        <f>'info, structure, parameters'!G253</f>
        <v>10</v>
      </c>
      <c r="I774" s="165"/>
      <c r="J774" s="165"/>
      <c r="K774" s="165"/>
      <c r="L774" s="165"/>
      <c r="M774" s="165"/>
      <c r="N774" s="19"/>
    </row>
    <row r="775" spans="1:14" ht="16.5" customHeight="1" x14ac:dyDescent="0.2">
      <c r="A775" s="19"/>
      <c r="B775" s="167" t="str">
        <f>'info, structure, parameters'!A254</f>
        <v>PYRO_energy_PP_pyrolysis</v>
      </c>
      <c r="C775" s="167">
        <f>'info, structure, parameters'!B254</f>
        <v>9.8788</v>
      </c>
      <c r="D775" s="167" t="str">
        <f>'info, structure, parameters'!C254</f>
        <v>MJ/kg PP</v>
      </c>
      <c r="E775" s="167">
        <f>'info, structure, parameters'!D254</f>
        <v>2.3120567375886525</v>
      </c>
      <c r="F775" s="167">
        <f>'info, structure, parameters'!E254</f>
        <v>9.8788</v>
      </c>
      <c r="G775" s="167" t="str">
        <f>'info, structure, parameters'!F254</f>
        <v>Amount of energy inputted during pyrolysis of 1 kg of PE</v>
      </c>
      <c r="H775" s="167">
        <f>'info, structure, parameters'!G254</f>
        <v>10</v>
      </c>
      <c r="I775" s="165"/>
      <c r="J775" s="165"/>
      <c r="K775" s="165"/>
      <c r="L775" s="165"/>
      <c r="M775" s="165"/>
      <c r="N775" s="19"/>
    </row>
    <row r="776" spans="1:14" ht="16.5" customHeight="1" x14ac:dyDescent="0.2">
      <c r="A776" s="19"/>
      <c r="B776" s="167" t="str">
        <f>'info, structure, parameters'!A255</f>
        <v>PYRO_energy_PS_pyrolysis</v>
      </c>
      <c r="C776" s="167">
        <f>'info, structure, parameters'!B255</f>
        <v>9.8824000000000005</v>
      </c>
      <c r="D776" s="167" t="str">
        <f>'info, structure, parameters'!C255</f>
        <v>MJ/kg PS</v>
      </c>
      <c r="E776" s="167">
        <f>'info, structure, parameters'!D255</f>
        <v>2.3120567375886525</v>
      </c>
      <c r="F776" s="167">
        <f>'info, structure, parameters'!E255</f>
        <v>9.8824000000000005</v>
      </c>
      <c r="G776" s="167" t="str">
        <f>'info, structure, parameters'!F255</f>
        <v>Amount of energy inputted during pyrolysis of 1 kg of PP</v>
      </c>
      <c r="H776" s="167">
        <f>'info, structure, parameters'!G255</f>
        <v>10</v>
      </c>
      <c r="I776" s="165"/>
      <c r="J776" s="165"/>
      <c r="K776" s="165"/>
      <c r="L776" s="165"/>
      <c r="M776" s="165"/>
      <c r="N776" s="19"/>
    </row>
    <row r="777" spans="1:14" ht="25" customHeight="1" x14ac:dyDescent="0.2">
      <c r="A777" s="19"/>
      <c r="B777" s="214" t="str">
        <f>B492</f>
        <v>Output from pyrolysis (PYRO) / Glycolysis (GLYCO)</v>
      </c>
      <c r="C777" s="214"/>
      <c r="D777" s="214"/>
      <c r="E777" s="214"/>
      <c r="F777" s="214"/>
      <c r="G777" s="214"/>
      <c r="H777" s="214"/>
      <c r="I777" s="214"/>
      <c r="J777" s="214"/>
      <c r="K777" s="214"/>
      <c r="L777" s="214"/>
      <c r="M777" s="214"/>
      <c r="N777" s="19"/>
    </row>
    <row r="778" spans="1:14" ht="25" customHeight="1" x14ac:dyDescent="0.2">
      <c r="A778" s="19"/>
      <c r="B778" s="239" t="str">
        <f>B493</f>
        <v>To liquid</v>
      </c>
      <c r="C778" s="239"/>
      <c r="D778" s="239"/>
      <c r="E778" s="239"/>
      <c r="F778" s="239"/>
      <c r="G778" s="240"/>
      <c r="H778" s="239" t="str">
        <f>H493</f>
        <v>To solid</v>
      </c>
      <c r="I778" s="239"/>
      <c r="J778" s="239"/>
      <c r="K778" s="239"/>
      <c r="L778" s="239"/>
      <c r="M778" s="239"/>
      <c r="N778" s="19"/>
    </row>
    <row r="779" spans="1:14" x14ac:dyDescent="0.2">
      <c r="A779" s="19"/>
      <c r="B779" s="2" t="s">
        <v>21</v>
      </c>
      <c r="C779" s="3" t="s">
        <v>20</v>
      </c>
      <c r="D779" s="2" t="s">
        <v>99</v>
      </c>
      <c r="E779" s="2" t="s">
        <v>3</v>
      </c>
      <c r="F779" s="2" t="s">
        <v>4</v>
      </c>
      <c r="G779" s="4" t="s">
        <v>43</v>
      </c>
      <c r="H779" s="2" t="s">
        <v>21</v>
      </c>
      <c r="I779" s="3" t="s">
        <v>20</v>
      </c>
      <c r="J779" s="2" t="str">
        <f>D779</f>
        <v>Name</v>
      </c>
      <c r="K779" s="2" t="s">
        <v>3</v>
      </c>
      <c r="L779" s="2" t="s">
        <v>4</v>
      </c>
      <c r="M779" s="2" t="s">
        <v>43</v>
      </c>
      <c r="N779" s="19"/>
    </row>
    <row r="780" spans="1:14" x14ac:dyDescent="0.2">
      <c r="A780" s="19"/>
      <c r="B780" s="220" t="s">
        <v>14</v>
      </c>
      <c r="C780" s="6" t="str">
        <f t="shared" ref="C780:C794" si="126">C747</f>
        <v>PET</v>
      </c>
      <c r="D780" t="s">
        <v>2131</v>
      </c>
      <c r="E780">
        <f>$C$675*E192</f>
        <v>5977.406485638</v>
      </c>
      <c r="F780" t="s">
        <v>121</v>
      </c>
      <c r="G780" s="32" t="str">
        <f>$B$675&amp;" * "&amp;D192</f>
        <v>bottle_energy * bottle_PET_PYRO_PUR_mass_pyrolysis</v>
      </c>
      <c r="H780" s="220" t="s">
        <v>14</v>
      </c>
      <c r="I780" s="6" t="str">
        <f>C780</f>
        <v>PET</v>
      </c>
      <c r="J780" t="s">
        <v>2112</v>
      </c>
      <c r="K780">
        <f>$C$675*K192</f>
        <v>335.46669052049998</v>
      </c>
      <c r="L780" t="s">
        <v>121</v>
      </c>
      <c r="M780" t="str">
        <f>$B$675&amp;" * "&amp;J192</f>
        <v>bottle_energy * bottle_PET_PYRO_INC_mass_pyrolysis</v>
      </c>
      <c r="N780" s="19"/>
    </row>
    <row r="781" spans="1:14" x14ac:dyDescent="0.2">
      <c r="A781" s="19"/>
      <c r="B781" s="220"/>
      <c r="C781" s="6" t="str">
        <f t="shared" si="126"/>
        <v>PE</v>
      </c>
      <c r="D781" t="s">
        <v>2132</v>
      </c>
      <c r="E781">
        <f>$C$675*E193</f>
        <v>1481.3572594842001</v>
      </c>
      <c r="F781" t="s">
        <v>121</v>
      </c>
      <c r="G781" s="32" t="str">
        <f>$B$675&amp;" * "&amp;D193</f>
        <v>bottle_energy * bottle_PE_PYRO_PUR_mass_pyrolysis</v>
      </c>
      <c r="H781" s="220"/>
      <c r="I781" s="6" t="str">
        <f t="shared" ref="I781:I794" si="127">C781</f>
        <v>PE</v>
      </c>
      <c r="J781" t="s">
        <v>2113</v>
      </c>
      <c r="K781">
        <f>$C$675*K193</f>
        <v>137.36896892459998</v>
      </c>
      <c r="L781" t="s">
        <v>121</v>
      </c>
      <c r="M781" t="str">
        <f>$B$675&amp;" * "&amp;J193</f>
        <v>bottle_energy * bottle_PE_PYRO_INC_mass_pyrolysis</v>
      </c>
      <c r="N781" s="19"/>
    </row>
    <row r="782" spans="1:14" x14ac:dyDescent="0.2">
      <c r="A782" s="19"/>
      <c r="B782" s="220"/>
      <c r="C782" s="6" t="str">
        <f t="shared" si="126"/>
        <v>PP</v>
      </c>
      <c r="D782" t="s">
        <v>2133</v>
      </c>
      <c r="E782">
        <f>$C$675*E194</f>
        <v>0</v>
      </c>
      <c r="F782" t="s">
        <v>121</v>
      </c>
      <c r="G782" s="32" t="str">
        <f>$B$675&amp;" * "&amp;D194</f>
        <v>bottle_energy * bottle_PP_PYRO_PUR_mass_pyrolysis</v>
      </c>
      <c r="H782" s="220"/>
      <c r="I782" s="6" t="str">
        <f t="shared" si="127"/>
        <v>PP</v>
      </c>
      <c r="J782" t="s">
        <v>2114</v>
      </c>
      <c r="K782">
        <f>$C$675*K194</f>
        <v>0</v>
      </c>
      <c r="L782" t="s">
        <v>121</v>
      </c>
      <c r="M782" t="str">
        <f>$B$675&amp;" * "&amp;J194</f>
        <v>bottle_energy * bottle_PP_PYRO_INC_mass_pyrolysis</v>
      </c>
      <c r="N782" s="19"/>
    </row>
    <row r="783" spans="1:14" x14ac:dyDescent="0.2">
      <c r="A783" s="19"/>
      <c r="B783" s="220"/>
      <c r="C783" s="6" t="str">
        <f t="shared" si="126"/>
        <v>PS</v>
      </c>
      <c r="D783" t="s">
        <v>2134</v>
      </c>
      <c r="E783">
        <f>$C$675*E195</f>
        <v>0</v>
      </c>
      <c r="F783" t="s">
        <v>121</v>
      </c>
      <c r="G783" s="32" t="str">
        <f>$B$675&amp;" * "&amp;D195</f>
        <v>bottle_energy * bottle_PS_PYRO_PUR_mass_pyrolysis</v>
      </c>
      <c r="H783" s="220"/>
      <c r="I783" s="6" t="str">
        <f t="shared" si="127"/>
        <v>PS</v>
      </c>
      <c r="J783" t="s">
        <v>2115</v>
      </c>
      <c r="K783">
        <f>$C$675*K195</f>
        <v>0</v>
      </c>
      <c r="L783" t="s">
        <v>121</v>
      </c>
      <c r="M783" t="str">
        <f>$B$675&amp;" * "&amp;J195</f>
        <v>bottle_energy * bottle_PS_PYRO_INC_mass_pyrolysis</v>
      </c>
      <c r="N783" s="19"/>
    </row>
    <row r="784" spans="1:14" x14ac:dyDescent="0.2">
      <c r="A784" s="19"/>
      <c r="B784" s="220"/>
      <c r="C784" s="6" t="str">
        <f t="shared" si="126"/>
        <v>Other</v>
      </c>
      <c r="D784" t="s">
        <v>2135</v>
      </c>
      <c r="E784">
        <f>$C$675*E196</f>
        <v>0</v>
      </c>
      <c r="F784" t="s">
        <v>121</v>
      </c>
      <c r="G784" s="32" t="str">
        <f>$B$675&amp;" * "&amp;D196</f>
        <v>bottle_energy * bottle_Oth_PYRO_PUR_mass_pyrolysis</v>
      </c>
      <c r="H784" s="220"/>
      <c r="I784" s="6" t="str">
        <f t="shared" si="127"/>
        <v>Other</v>
      </c>
      <c r="J784" t="s">
        <v>2116</v>
      </c>
      <c r="K784">
        <f>$C$675*K196</f>
        <v>0</v>
      </c>
      <c r="L784" t="s">
        <v>121</v>
      </c>
      <c r="M784" t="str">
        <f>$B$675&amp;" * "&amp;J196</f>
        <v>bottle_energy * bottle_Oth_PYRO_INC_mass_pyrolysis</v>
      </c>
      <c r="N784" s="19"/>
    </row>
    <row r="785" spans="1:14" x14ac:dyDescent="0.2">
      <c r="A785" s="19"/>
      <c r="B785" s="220" t="s">
        <v>15</v>
      </c>
      <c r="C785" s="6" t="str">
        <f t="shared" si="126"/>
        <v>PET</v>
      </c>
      <c r="D785" t="s">
        <v>2136</v>
      </c>
      <c r="E785">
        <f>$C$676*E197</f>
        <v>1151.1089561663998</v>
      </c>
      <c r="F785" t="s">
        <v>121</v>
      </c>
      <c r="G785" s="32" t="str">
        <f>$B$676&amp;" * "&amp;D197</f>
        <v>rigid_energy * rigid_PET_PYRO_PUR_mass_pyrolysis</v>
      </c>
      <c r="H785" s="220" t="s">
        <v>15</v>
      </c>
      <c r="I785" s="6" t="str">
        <f t="shared" si="127"/>
        <v>PET</v>
      </c>
      <c r="J785" t="s">
        <v>2117</v>
      </c>
      <c r="K785">
        <f>$C$676*K197</f>
        <v>64.603053662399986</v>
      </c>
      <c r="L785" t="s">
        <v>121</v>
      </c>
      <c r="M785" t="str">
        <f>$B$676&amp;" * "&amp;J197</f>
        <v>rigid_energy * rigid_PET_PYRO_INC_mass_pyrolysis</v>
      </c>
      <c r="N785" s="19"/>
    </row>
    <row r="786" spans="1:14" x14ac:dyDescent="0.2">
      <c r="A786" s="19"/>
      <c r="B786" s="220"/>
      <c r="C786" s="6" t="str">
        <f t="shared" si="126"/>
        <v>PE</v>
      </c>
      <c r="D786" t="s">
        <v>2137</v>
      </c>
      <c r="E786">
        <f>$C$676*E198</f>
        <v>702.99868394448004</v>
      </c>
      <c r="F786" t="s">
        <v>121</v>
      </c>
      <c r="G786" s="32" t="str">
        <f>$B$676&amp;" * "&amp;D198</f>
        <v>rigid_energy * rigid_PE_PYRO_PUR_mass_pyrolysis</v>
      </c>
      <c r="H786" s="220"/>
      <c r="I786" s="6" t="str">
        <f t="shared" si="127"/>
        <v>PE</v>
      </c>
      <c r="J786" t="s">
        <v>2118</v>
      </c>
      <c r="K786">
        <f>$C$676*K198</f>
        <v>65.190354150239997</v>
      </c>
      <c r="L786" t="s">
        <v>121</v>
      </c>
      <c r="M786" t="str">
        <f>$B$676&amp;" * "&amp;J198</f>
        <v>rigid_energy * rigid_PE_PYRO_INC_mass_pyrolysis</v>
      </c>
      <c r="N786" s="19"/>
    </row>
    <row r="787" spans="1:14" x14ac:dyDescent="0.2">
      <c r="A787" s="19"/>
      <c r="B787" s="220"/>
      <c r="C787" s="6" t="str">
        <f t="shared" si="126"/>
        <v>PP</v>
      </c>
      <c r="D787" t="s">
        <v>2138</v>
      </c>
      <c r="E787">
        <f>$C$676*E199</f>
        <v>1576.7290744127999</v>
      </c>
      <c r="F787" t="s">
        <v>121</v>
      </c>
      <c r="G787" s="32" t="str">
        <f>$B$676&amp;" * "&amp;D199</f>
        <v>rigid_energy * rigid_PP_PYRO_PUR_mass_pyrolysis</v>
      </c>
      <c r="H787" s="220"/>
      <c r="I787" s="6" t="str">
        <f t="shared" si="127"/>
        <v>PP</v>
      </c>
      <c r="J787" t="s">
        <v>2119</v>
      </c>
      <c r="K787">
        <f>$C$676*K199</f>
        <v>139.29385688063999</v>
      </c>
      <c r="L787" t="s">
        <v>121</v>
      </c>
      <c r="M787" t="str">
        <f>$B$676&amp;" * "&amp;J199</f>
        <v>rigid_energy * rigid_PP_PYRO_INC_mass_pyrolysis</v>
      </c>
      <c r="N787" s="19"/>
    </row>
    <row r="788" spans="1:14" x14ac:dyDescent="0.2">
      <c r="A788" s="19"/>
      <c r="B788" s="220"/>
      <c r="C788" s="6" t="str">
        <f t="shared" si="126"/>
        <v>PS</v>
      </c>
      <c r="D788" t="s">
        <v>2139</v>
      </c>
      <c r="E788">
        <f>$C$676*E200</f>
        <v>206.43612147575999</v>
      </c>
      <c r="F788" t="s">
        <v>121</v>
      </c>
      <c r="G788" s="32" t="str">
        <f>$B$676&amp;" * "&amp;D200</f>
        <v>rigid_energy * rigid_PS_PYRO_PUR_mass_pyrolysis</v>
      </c>
      <c r="H788" s="220"/>
      <c r="I788" s="6" t="str">
        <f t="shared" si="127"/>
        <v>PS</v>
      </c>
      <c r="J788" t="s">
        <v>2120</v>
      </c>
      <c r="K788">
        <f>$C$676*K200</f>
        <v>16.150763415599997</v>
      </c>
      <c r="L788" t="s">
        <v>121</v>
      </c>
      <c r="M788" t="str">
        <f>$B$676&amp;" * "&amp;J200</f>
        <v>rigid_energy * rigid_PS_PYRO_INC_mass_pyrolysis</v>
      </c>
      <c r="N788" s="19"/>
    </row>
    <row r="789" spans="1:14" x14ac:dyDescent="0.2">
      <c r="A789" s="19"/>
      <c r="B789" s="220"/>
      <c r="C789" s="6" t="str">
        <f t="shared" si="126"/>
        <v>Other</v>
      </c>
      <c r="D789" t="s">
        <v>2140</v>
      </c>
      <c r="E789">
        <f>$C$676*E201</f>
        <v>1032.1806073787996</v>
      </c>
      <c r="F789" t="s">
        <v>121</v>
      </c>
      <c r="G789" s="32" t="str">
        <f>$B$676&amp;" * "&amp;D201</f>
        <v>rigid_energy * rigid_Oth_PYRO_PUR_mass_pyrolysis</v>
      </c>
      <c r="H789" s="220"/>
      <c r="I789" s="6" t="str">
        <f t="shared" si="127"/>
        <v>Other</v>
      </c>
      <c r="J789" t="s">
        <v>2121</v>
      </c>
      <c r="K789">
        <f>$C$676*K201</f>
        <v>80.753817077999969</v>
      </c>
      <c r="L789" t="s">
        <v>121</v>
      </c>
      <c r="M789" t="str">
        <f>$B$676&amp;" * "&amp;J201</f>
        <v>rigid_energy * rigid_Oth_PYRO_INC_mass_pyrolysis</v>
      </c>
      <c r="N789" s="19"/>
    </row>
    <row r="790" spans="1:14" x14ac:dyDescent="0.2">
      <c r="A790" s="19"/>
      <c r="B790" s="220" t="s">
        <v>42</v>
      </c>
      <c r="C790" s="6" t="str">
        <f t="shared" si="126"/>
        <v>PET</v>
      </c>
      <c r="D790" t="s">
        <v>2141</v>
      </c>
      <c r="E790">
        <f>$C$677*E202</f>
        <v>0</v>
      </c>
      <c r="F790" t="s">
        <v>121</v>
      </c>
      <c r="G790" s="32" t="str">
        <f>$B$677&amp;" * "&amp;D202</f>
        <v>soft_energy * soft_PET_PYRO_PUR_mass_pyrolysis</v>
      </c>
      <c r="H790" s="220" t="s">
        <v>42</v>
      </c>
      <c r="I790" s="6" t="str">
        <f t="shared" si="127"/>
        <v>PET</v>
      </c>
      <c r="J790" t="s">
        <v>2122</v>
      </c>
      <c r="K790">
        <f>$C$677*K202</f>
        <v>0</v>
      </c>
      <c r="L790" t="s">
        <v>121</v>
      </c>
      <c r="M790" t="str">
        <f>$B$677&amp;" * "&amp;J202</f>
        <v>soft_energy * soft_PET_PYRO_INC_mass_pyrolysis</v>
      </c>
      <c r="N790" s="19"/>
    </row>
    <row r="791" spans="1:14" x14ac:dyDescent="0.2">
      <c r="A791" s="19"/>
      <c r="B791" s="220"/>
      <c r="C791" s="6" t="str">
        <f t="shared" si="126"/>
        <v>PE</v>
      </c>
      <c r="D791" t="s">
        <v>2142</v>
      </c>
      <c r="E791">
        <f>$C$677*E203</f>
        <v>5990.0653987171208</v>
      </c>
      <c r="F791" t="s">
        <v>121</v>
      </c>
      <c r="G791" s="32" t="str">
        <f>$B$677&amp;" * "&amp;D203</f>
        <v>soft_energy * soft_PE_PYRO_PUR_mass_pyrolysis</v>
      </c>
      <c r="H791" s="220"/>
      <c r="I791" s="6" t="str">
        <f t="shared" si="127"/>
        <v>PE</v>
      </c>
      <c r="J791" t="s">
        <v>2123</v>
      </c>
      <c r="K791">
        <f>$C$677*K203</f>
        <v>555.46972369056004</v>
      </c>
      <c r="L791" t="s">
        <v>121</v>
      </c>
      <c r="M791" t="str">
        <f>$B$677&amp;" * "&amp;J203</f>
        <v>soft_energy * soft_PE_PYRO_INC_mass_pyrolysis</v>
      </c>
      <c r="N791" s="19"/>
    </row>
    <row r="792" spans="1:14" x14ac:dyDescent="0.2">
      <c r="A792" s="19"/>
      <c r="B792" s="220"/>
      <c r="C792" s="6" t="str">
        <f t="shared" si="126"/>
        <v>PP</v>
      </c>
      <c r="D792" t="s">
        <v>2143</v>
      </c>
      <c r="E792">
        <f>$C$677*E204</f>
        <v>0</v>
      </c>
      <c r="F792" t="s">
        <v>121</v>
      </c>
      <c r="G792" s="32" t="str">
        <f>$B$677&amp;" * "&amp;D204</f>
        <v>soft_energy * soft_PP_PYRO_PUR_mass_pyrolysis</v>
      </c>
      <c r="H792" s="220"/>
      <c r="I792" s="6" t="str">
        <f t="shared" si="127"/>
        <v>PP</v>
      </c>
      <c r="J792" t="s">
        <v>2124</v>
      </c>
      <c r="K792">
        <f>$C$677*K204</f>
        <v>0</v>
      </c>
      <c r="L792" t="s">
        <v>121</v>
      </c>
      <c r="M792" t="str">
        <f>$B$677&amp;" * "&amp;J204</f>
        <v>soft_energy * soft_PP_PYRO_INC_mass_pyrolysis</v>
      </c>
      <c r="N792" s="19"/>
    </row>
    <row r="793" spans="1:14" x14ac:dyDescent="0.2">
      <c r="A793" s="19"/>
      <c r="B793" s="220"/>
      <c r="C793" s="6" t="str">
        <f t="shared" si="126"/>
        <v>PS</v>
      </c>
      <c r="D793" t="s">
        <v>2144</v>
      </c>
      <c r="E793">
        <f>$C$677*E205</f>
        <v>0</v>
      </c>
      <c r="F793" t="s">
        <v>121</v>
      </c>
      <c r="G793" s="32" t="str">
        <f>$B$677&amp;" * "&amp;D205</f>
        <v>soft_energy * soft_PS_PYRO_PUR_mass_pyrolysis</v>
      </c>
      <c r="H793" s="220"/>
      <c r="I793" s="6" t="str">
        <f t="shared" si="127"/>
        <v>PS</v>
      </c>
      <c r="J793" t="s">
        <v>2125</v>
      </c>
      <c r="K793">
        <f>$C$677*K205</f>
        <v>0</v>
      </c>
      <c r="L793" t="s">
        <v>121</v>
      </c>
      <c r="M793" t="str">
        <f>$B$677&amp;" * "&amp;J205</f>
        <v>soft_energy * soft_PS_PYRO_INC_mass_pyrolysis</v>
      </c>
      <c r="N793" s="19"/>
    </row>
    <row r="794" spans="1:14" x14ac:dyDescent="0.2">
      <c r="A794" s="19"/>
      <c r="B794" s="220"/>
      <c r="C794" s="6" t="str">
        <f t="shared" si="126"/>
        <v>Other</v>
      </c>
      <c r="D794" t="s">
        <v>2145</v>
      </c>
      <c r="E794">
        <f>$C$677*E206</f>
        <v>1961.4451732381806</v>
      </c>
      <c r="F794" t="s">
        <v>121</v>
      </c>
      <c r="G794" s="32" t="str">
        <f>$B$677&amp;" * "&amp;D206</f>
        <v>soft_energy * soft_Oth_PYRO_PUR_mass_pyrolysis</v>
      </c>
      <c r="H794" s="220"/>
      <c r="I794" s="6" t="str">
        <f t="shared" si="127"/>
        <v>Other</v>
      </c>
      <c r="J794" t="s">
        <v>2126</v>
      </c>
      <c r="K794">
        <f>$C$677*K206</f>
        <v>153.45588126330006</v>
      </c>
      <c r="L794" t="s">
        <v>121</v>
      </c>
      <c r="M794" t="str">
        <f>$B$677&amp;" * "&amp;J206</f>
        <v>soft_energy * soft_Oth_PYRO_INC_mass_pyrolysis</v>
      </c>
      <c r="N794" s="19"/>
    </row>
    <row r="795" spans="1:14" ht="25" customHeight="1" x14ac:dyDescent="0.2">
      <c r="A795" s="19"/>
      <c r="B795" s="214" t="s">
        <v>45</v>
      </c>
      <c r="C795" s="214"/>
      <c r="D795" s="214"/>
      <c r="E795" s="214"/>
      <c r="F795" s="214"/>
      <c r="G795" s="214"/>
      <c r="H795" s="214"/>
      <c r="I795" s="214"/>
      <c r="J795" s="214"/>
      <c r="K795" s="214"/>
      <c r="L795" s="214"/>
      <c r="M795" s="214"/>
      <c r="N795" s="19"/>
    </row>
    <row r="796" spans="1:14" x14ac:dyDescent="0.2">
      <c r="A796" s="19"/>
      <c r="B796" s="53" t="s">
        <v>46</v>
      </c>
      <c r="C796" s="10" t="s">
        <v>3</v>
      </c>
      <c r="D796" s="10" t="s">
        <v>4</v>
      </c>
      <c r="E796" s="53" t="s">
        <v>7</v>
      </c>
      <c r="F796" s="10"/>
      <c r="G796" s="83"/>
      <c r="H796" s="53" t="s">
        <v>49</v>
      </c>
      <c r="I796" s="53" t="s">
        <v>3</v>
      </c>
      <c r="J796" s="53" t="s">
        <v>4</v>
      </c>
      <c r="K796" s="53" t="s">
        <v>7</v>
      </c>
      <c r="L796" s="10"/>
      <c r="M796" s="10"/>
      <c r="N796" s="19"/>
    </row>
    <row r="797" spans="1:14" x14ac:dyDescent="0.2">
      <c r="A797" s="19"/>
      <c r="B797" s="39" t="s">
        <v>2858</v>
      </c>
      <c r="C797" s="25">
        <f>C774*(E155+E160+E165)</f>
        <v>2163.6823032000002</v>
      </c>
      <c r="D797" s="39" t="s">
        <v>121</v>
      </c>
      <c r="E797" s="39" t="s">
        <v>3093</v>
      </c>
      <c r="F797" s="168"/>
      <c r="G797" s="169"/>
      <c r="H797" s="53"/>
      <c r="I797" s="53"/>
      <c r="J797" s="53"/>
      <c r="K797" s="53"/>
      <c r="L797" s="10"/>
      <c r="M797" s="10"/>
      <c r="N797" s="19"/>
    </row>
    <row r="798" spans="1:14" x14ac:dyDescent="0.2">
      <c r="A798" s="19"/>
      <c r="B798" s="39" t="s">
        <v>2859</v>
      </c>
      <c r="C798" s="25">
        <f>C774*(E156+E161+E166)</f>
        <v>2957.3081999999999</v>
      </c>
      <c r="D798" s="39" t="str">
        <f>D797</f>
        <v>MJ</v>
      </c>
      <c r="E798" s="39" t="s">
        <v>3094</v>
      </c>
      <c r="F798" s="168"/>
      <c r="G798" s="169"/>
      <c r="H798" s="53"/>
      <c r="I798" s="53"/>
      <c r="J798" s="53"/>
      <c r="K798" s="53"/>
      <c r="L798" s="10"/>
      <c r="M798" s="10"/>
      <c r="N798" s="19"/>
    </row>
    <row r="799" spans="1:14" x14ac:dyDescent="0.2">
      <c r="A799" s="19"/>
      <c r="B799" s="39" t="s">
        <v>2860</v>
      </c>
      <c r="C799" s="25">
        <f>C775*(E157+E162+E167)</f>
        <v>527.7650112</v>
      </c>
      <c r="D799" s="39" t="str">
        <f>D798</f>
        <v>MJ</v>
      </c>
      <c r="E799" s="39" t="s">
        <v>3095</v>
      </c>
      <c r="F799" s="168"/>
      <c r="G799" s="169"/>
      <c r="H799" s="53"/>
      <c r="I799" s="53"/>
      <c r="J799" s="53"/>
      <c r="K799" s="53"/>
      <c r="L799" s="10"/>
      <c r="M799" s="10"/>
      <c r="N799" s="19"/>
    </row>
    <row r="800" spans="1:14" x14ac:dyDescent="0.2">
      <c r="A800" s="19"/>
      <c r="B800" s="39" t="s">
        <v>2861</v>
      </c>
      <c r="C800" s="25">
        <f>C776*(E158+E163+E168)</f>
        <v>80.136381600000007</v>
      </c>
      <c r="D800" s="39" t="str">
        <f>D799</f>
        <v>MJ</v>
      </c>
      <c r="E800" s="39" t="s">
        <v>3096</v>
      </c>
      <c r="F800" s="168"/>
      <c r="G800" s="169"/>
      <c r="H800" s="53"/>
      <c r="I800" s="53"/>
      <c r="J800" s="53"/>
      <c r="K800" s="53"/>
      <c r="L800" s="10"/>
      <c r="M800" s="10"/>
      <c r="N800" s="19"/>
    </row>
    <row r="801" spans="1:14" x14ac:dyDescent="0.2">
      <c r="A801" s="19"/>
      <c r="B801" t="s">
        <v>2146</v>
      </c>
      <c r="C801">
        <f>SUM(E780:E784)</f>
        <v>7458.7637451221999</v>
      </c>
      <c r="D801" t="s">
        <v>121</v>
      </c>
      <c r="E801" t="s">
        <v>3089</v>
      </c>
      <c r="F801" s="2"/>
      <c r="G801" s="4"/>
      <c r="H801" t="s">
        <v>2127</v>
      </c>
      <c r="I801">
        <f>SUM(K780:K784)</f>
        <v>472.83565944509996</v>
      </c>
      <c r="J801" t="s">
        <v>121</v>
      </c>
      <c r="K801" t="s">
        <v>2108</v>
      </c>
      <c r="L801" s="2"/>
      <c r="M801" s="2"/>
      <c r="N801" s="19"/>
    </row>
    <row r="802" spans="1:14" x14ac:dyDescent="0.2">
      <c r="A802" s="19"/>
      <c r="B802" t="s">
        <v>2147</v>
      </c>
      <c r="C802">
        <f>SUM(E785:E789)</f>
        <v>4669.4534433782392</v>
      </c>
      <c r="D802" t="str">
        <f>D801</f>
        <v>MJ</v>
      </c>
      <c r="E802" t="s">
        <v>3090</v>
      </c>
      <c r="F802" s="2"/>
      <c r="G802" s="4"/>
      <c r="H802" t="s">
        <v>2128</v>
      </c>
      <c r="I802">
        <f>SUM(K785:K789)</f>
        <v>365.99184518687991</v>
      </c>
      <c r="J802" t="str">
        <f>J801</f>
        <v>MJ</v>
      </c>
      <c r="K802" t="s">
        <v>2109</v>
      </c>
      <c r="L802" s="2"/>
      <c r="M802" s="2"/>
      <c r="N802" s="19"/>
    </row>
    <row r="803" spans="1:14" ht="16" thickBot="1" x14ac:dyDescent="0.25">
      <c r="A803" s="19"/>
      <c r="B803" s="8" t="s">
        <v>2148</v>
      </c>
      <c r="C803" s="8">
        <f>SUM(E790:E794)</f>
        <v>7951.5105719553012</v>
      </c>
      <c r="D803" s="8" t="str">
        <f>D802</f>
        <v>MJ</v>
      </c>
      <c r="E803" s="8" t="s">
        <v>3091</v>
      </c>
      <c r="F803" s="37"/>
      <c r="G803" s="38"/>
      <c r="H803" s="8" t="s">
        <v>2129</v>
      </c>
      <c r="I803" s="8">
        <f>SUM(K790:K794)</f>
        <v>708.9256049538601</v>
      </c>
      <c r="J803" s="8" t="str">
        <f t="shared" ref="J803:J804" si="128">J802</f>
        <v>MJ</v>
      </c>
      <c r="K803" s="8" t="s">
        <v>2110</v>
      </c>
      <c r="L803" s="37"/>
      <c r="M803" s="37"/>
      <c r="N803" s="19"/>
    </row>
    <row r="804" spans="1:14" ht="16" thickTop="1" x14ac:dyDescent="0.2">
      <c r="A804" s="19"/>
      <c r="B804" s="80" t="s">
        <v>2149</v>
      </c>
      <c r="C804" s="81">
        <f>SUM(C801:C803)</f>
        <v>20079.727760455738</v>
      </c>
      <c r="D804" s="80" t="str">
        <f>D803</f>
        <v>MJ</v>
      </c>
      <c r="E804" s="80" t="s">
        <v>3092</v>
      </c>
      <c r="F804" s="82"/>
      <c r="G804" s="84"/>
      <c r="H804" s="80" t="s">
        <v>2130</v>
      </c>
      <c r="I804" s="80">
        <f>SUM(I801:I803)</f>
        <v>1547.7531095858399</v>
      </c>
      <c r="J804" s="80" t="str">
        <f t="shared" si="128"/>
        <v>MJ</v>
      </c>
      <c r="K804" s="80" t="s">
        <v>2111</v>
      </c>
      <c r="L804" s="82"/>
      <c r="M804" s="82"/>
      <c r="N804" s="19"/>
    </row>
    <row r="805" spans="1:14" x14ac:dyDescent="0.2">
      <c r="A805" s="19"/>
      <c r="B805" s="94" t="s">
        <v>2150</v>
      </c>
      <c r="C805" s="60">
        <f>C767-C804-I804</f>
        <v>2376.7955425384239</v>
      </c>
      <c r="D805" s="61" t="s">
        <v>121</v>
      </c>
      <c r="E805" s="62" t="s">
        <v>3109</v>
      </c>
      <c r="F805" s="144"/>
      <c r="G805" s="199"/>
      <c r="H805" s="94"/>
      <c r="I805" s="60"/>
      <c r="J805" s="44"/>
      <c r="K805" s="62"/>
      <c r="L805" s="44"/>
      <c r="M805" s="44"/>
      <c r="N805" s="19"/>
    </row>
    <row r="806" spans="1:14" x14ac:dyDescent="0.2">
      <c r="A806" s="19"/>
      <c r="B806" s="98"/>
      <c r="C806" s="97"/>
      <c r="D806" s="19"/>
      <c r="E806" s="74"/>
      <c r="F806" s="19"/>
      <c r="G806" s="19"/>
      <c r="H806" s="98"/>
      <c r="I806" s="97"/>
      <c r="J806" s="19"/>
      <c r="K806" s="74"/>
      <c r="L806" s="19"/>
      <c r="M806" s="19"/>
      <c r="N806" s="19"/>
    </row>
    <row r="807" spans="1:14" x14ac:dyDescent="0.2">
      <c r="A807" s="19"/>
      <c r="B807" s="98"/>
      <c r="C807" s="97"/>
      <c r="D807" s="19"/>
      <c r="E807" s="74"/>
      <c r="F807" s="19"/>
      <c r="G807" s="19"/>
      <c r="H807" s="98"/>
      <c r="I807" s="97"/>
      <c r="J807" s="19"/>
      <c r="K807" s="74"/>
      <c r="L807" s="19"/>
      <c r="M807" s="19"/>
      <c r="N807" s="19"/>
    </row>
    <row r="808" spans="1:14" x14ac:dyDescent="0.2">
      <c r="A808" s="19"/>
      <c r="B808" s="98"/>
      <c r="C808" s="97"/>
      <c r="D808" s="19"/>
      <c r="E808" s="74"/>
      <c r="F808" s="19"/>
      <c r="G808" s="19"/>
      <c r="H808" s="98"/>
      <c r="I808" s="97"/>
      <c r="J808" s="19"/>
      <c r="K808" s="74"/>
      <c r="L808" s="19"/>
      <c r="M808" s="19"/>
      <c r="N808" s="19"/>
    </row>
    <row r="809" spans="1:14" ht="25" customHeight="1" x14ac:dyDescent="0.2">
      <c r="A809" s="19"/>
      <c r="B809" s="232" t="str">
        <f>B520</f>
        <v>Purification (PUR)</v>
      </c>
      <c r="C809" s="232"/>
      <c r="D809" s="232"/>
      <c r="E809" s="232"/>
      <c r="F809" s="232"/>
      <c r="G809" s="232"/>
      <c r="H809" s="232"/>
      <c r="I809" s="232"/>
      <c r="J809" s="232"/>
      <c r="K809" s="232"/>
      <c r="L809" s="232"/>
      <c r="M809" s="232"/>
      <c r="N809" s="19"/>
    </row>
    <row r="810" spans="1:14" ht="25" customHeight="1" x14ac:dyDescent="0.2">
      <c r="A810" s="19"/>
      <c r="B810" s="226" t="str">
        <f>B521</f>
        <v>Output from purification (PUR)</v>
      </c>
      <c r="C810" s="226"/>
      <c r="D810" s="226"/>
      <c r="E810" s="226"/>
      <c r="F810" s="226"/>
      <c r="G810" s="226"/>
      <c r="H810" s="226"/>
      <c r="I810" s="226"/>
      <c r="J810" s="226"/>
      <c r="K810" s="226"/>
      <c r="L810" s="226"/>
      <c r="M810" s="226"/>
      <c r="N810" s="19"/>
    </row>
    <row r="811" spans="1:14" ht="25" customHeight="1" x14ac:dyDescent="0.2">
      <c r="A811" s="19"/>
      <c r="B811" s="214" t="str">
        <f>B522</f>
        <v>Purified oil</v>
      </c>
      <c r="C811" s="214"/>
      <c r="D811" s="214"/>
      <c r="E811" s="214"/>
      <c r="F811" s="214"/>
      <c r="G811" s="223"/>
      <c r="H811" s="214" t="str">
        <f>H522</f>
        <v>Heavy vacuum residues (HVR)</v>
      </c>
      <c r="I811" s="214"/>
      <c r="J811" s="214"/>
      <c r="K811" s="214"/>
      <c r="L811" s="214"/>
      <c r="M811" s="214"/>
      <c r="N811" s="19"/>
    </row>
    <row r="812" spans="1:14" x14ac:dyDescent="0.2">
      <c r="A812" s="19"/>
      <c r="B812" s="2" t="s">
        <v>21</v>
      </c>
      <c r="C812" s="3" t="s">
        <v>20</v>
      </c>
      <c r="D812" s="2" t="s">
        <v>99</v>
      </c>
      <c r="E812" s="2" t="s">
        <v>3</v>
      </c>
      <c r="F812" s="2" t="s">
        <v>4</v>
      </c>
      <c r="G812" s="4" t="s">
        <v>43</v>
      </c>
      <c r="H812" s="2" t="s">
        <v>21</v>
      </c>
      <c r="I812" s="3" t="s">
        <v>20</v>
      </c>
      <c r="J812" s="2" t="str">
        <f>D812</f>
        <v>Name</v>
      </c>
      <c r="K812" s="2" t="s">
        <v>3</v>
      </c>
      <c r="L812" s="2" t="s">
        <v>4</v>
      </c>
      <c r="M812" s="2" t="s">
        <v>43</v>
      </c>
      <c r="N812" s="19"/>
    </row>
    <row r="813" spans="1:14" x14ac:dyDescent="0.2">
      <c r="A813" s="19"/>
      <c r="B813" s="220" t="s">
        <v>14</v>
      </c>
      <c r="C813" s="6" t="str">
        <f t="shared" ref="C813:C827" si="129">C780</f>
        <v>PET</v>
      </c>
      <c r="D813" t="s">
        <v>2189</v>
      </c>
      <c r="E813" s="33">
        <f>$C$675*E224</f>
        <v>5977.406485638</v>
      </c>
      <c r="F813" t="s">
        <v>121</v>
      </c>
      <c r="G813" s="32" t="str">
        <f>$B$675&amp;" * "&amp;D224</f>
        <v>bottle_energy * bottle_PET_PUR_POLY_mass_pyrolysis</v>
      </c>
      <c r="H813" s="220" t="s">
        <v>14</v>
      </c>
      <c r="I813" s="6" t="str">
        <f>C813</f>
        <v>PET</v>
      </c>
      <c r="J813" t="s">
        <v>2167</v>
      </c>
      <c r="K813" s="33">
        <f t="shared" ref="K813:K827" si="130">E780-E813</f>
        <v>0</v>
      </c>
      <c r="L813" t="s">
        <v>121</v>
      </c>
      <c r="M813" t="str">
        <f t="shared" ref="M813:M827" si="131">D780&amp;" - "&amp;D813</f>
        <v>bottle_PET_PYRO_PUR_energy_pyrolysis - bottle_PET_PUR_POLY_energy_pyrolysis</v>
      </c>
      <c r="N813" s="19" t="s">
        <v>1005</v>
      </c>
    </row>
    <row r="814" spans="1:14" x14ac:dyDescent="0.2">
      <c r="A814" s="19"/>
      <c r="B814" s="220"/>
      <c r="C814" s="6" t="str">
        <f t="shared" si="129"/>
        <v>PE</v>
      </c>
      <c r="D814" t="s">
        <v>2190</v>
      </c>
      <c r="E814" s="33">
        <f>$C$675*E225</f>
        <v>1451.7301142945162</v>
      </c>
      <c r="F814" t="s">
        <v>121</v>
      </c>
      <c r="G814" s="32" t="str">
        <f>$B$675&amp;" * "&amp;D225</f>
        <v>bottle_energy * bottle_PE_PUR_POLY_mass_pyrolysis</v>
      </c>
      <c r="H814" s="220"/>
      <c r="I814" s="6" t="str">
        <f t="shared" ref="I814:I827" si="132">C814</f>
        <v>PE</v>
      </c>
      <c r="J814" t="s">
        <v>2168</v>
      </c>
      <c r="K814" s="33">
        <f t="shared" si="130"/>
        <v>29.627145189683915</v>
      </c>
      <c r="L814" t="s">
        <v>121</v>
      </c>
      <c r="M814" t="str">
        <f t="shared" si="131"/>
        <v>bottle_PE_PYRO_PUR_energy_pyrolysis - bottle_PE_PUR_POLY_energy_pyrolysis</v>
      </c>
      <c r="N814" s="19" t="s">
        <v>1005</v>
      </c>
    </row>
    <row r="815" spans="1:14" x14ac:dyDescent="0.2">
      <c r="A815" s="19"/>
      <c r="B815" s="220"/>
      <c r="C815" s="6" t="str">
        <f t="shared" si="129"/>
        <v>PP</v>
      </c>
      <c r="D815" t="s">
        <v>2191</v>
      </c>
      <c r="E815" s="33">
        <f>$C$675*E226</f>
        <v>0</v>
      </c>
      <c r="F815" t="s">
        <v>121</v>
      </c>
      <c r="G815" s="32" t="str">
        <f>$B$675&amp;" * "&amp;D226</f>
        <v>bottle_energy * bottle_PP_PUR_POLY_mass_pyrolysis</v>
      </c>
      <c r="H815" s="220"/>
      <c r="I815" s="6" t="str">
        <f t="shared" si="132"/>
        <v>PP</v>
      </c>
      <c r="J815" t="s">
        <v>2169</v>
      </c>
      <c r="K815" s="33">
        <f t="shared" si="130"/>
        <v>0</v>
      </c>
      <c r="L815" t="s">
        <v>121</v>
      </c>
      <c r="M815" t="str">
        <f t="shared" si="131"/>
        <v>bottle_PP_PYRO_PUR_energy_pyrolysis - bottle_PP_PUR_POLY_energy_pyrolysis</v>
      </c>
      <c r="N815" s="19" t="s">
        <v>1005</v>
      </c>
    </row>
    <row r="816" spans="1:14" x14ac:dyDescent="0.2">
      <c r="A816" s="19"/>
      <c r="B816" s="220"/>
      <c r="C816" s="6" t="str">
        <f t="shared" si="129"/>
        <v>PS</v>
      </c>
      <c r="D816" t="s">
        <v>2192</v>
      </c>
      <c r="E816" s="33">
        <f>$C$675*E227</f>
        <v>0</v>
      </c>
      <c r="F816" t="s">
        <v>121</v>
      </c>
      <c r="G816" s="32" t="str">
        <f>$B$675&amp;" * "&amp;D227</f>
        <v>bottle_energy * bottle_PS_PUR_POLY_mass_pyrolysis</v>
      </c>
      <c r="H816" s="220"/>
      <c r="I816" s="6" t="str">
        <f t="shared" si="132"/>
        <v>PS</v>
      </c>
      <c r="J816" t="s">
        <v>2170</v>
      </c>
      <c r="K816" s="33">
        <f t="shared" si="130"/>
        <v>0</v>
      </c>
      <c r="L816" t="s">
        <v>121</v>
      </c>
      <c r="M816" t="str">
        <f t="shared" si="131"/>
        <v>bottle_PS_PYRO_PUR_energy_pyrolysis - bottle_PS_PUR_POLY_energy_pyrolysis</v>
      </c>
      <c r="N816" s="19" t="s">
        <v>1005</v>
      </c>
    </row>
    <row r="817" spans="1:14" x14ac:dyDescent="0.2">
      <c r="A817" s="19"/>
      <c r="B817" s="220"/>
      <c r="C817" s="6" t="str">
        <f t="shared" si="129"/>
        <v>Other</v>
      </c>
      <c r="D817" t="s">
        <v>2193</v>
      </c>
      <c r="E817" s="33">
        <f>$C$675*E228</f>
        <v>0</v>
      </c>
      <c r="F817" t="s">
        <v>121</v>
      </c>
      <c r="G817" s="32" t="str">
        <f>$B$675&amp;" * "&amp;D228</f>
        <v>bottle_energy * bottle_Oth_PUR_POLY_mass_pyrolysis</v>
      </c>
      <c r="H817" s="220"/>
      <c r="I817" s="6" t="str">
        <f t="shared" si="132"/>
        <v>Other</v>
      </c>
      <c r="J817" t="s">
        <v>2171</v>
      </c>
      <c r="K817" s="33">
        <f t="shared" si="130"/>
        <v>0</v>
      </c>
      <c r="L817" t="s">
        <v>121</v>
      </c>
      <c r="M817" t="str">
        <f t="shared" si="131"/>
        <v>bottle_Oth_PYRO_PUR_energy_pyrolysis - bottle_Oth_PUR_POLY_energy_pyrolysis</v>
      </c>
      <c r="N817" s="19" t="s">
        <v>1005</v>
      </c>
    </row>
    <row r="818" spans="1:14" x14ac:dyDescent="0.2">
      <c r="A818" s="19"/>
      <c r="B818" s="220" t="s">
        <v>15</v>
      </c>
      <c r="C818" s="6" t="str">
        <f t="shared" si="129"/>
        <v>PET</v>
      </c>
      <c r="D818" t="s">
        <v>2194</v>
      </c>
      <c r="E818" s="33">
        <f>$C$676*E229</f>
        <v>1151.1089561663998</v>
      </c>
      <c r="F818" t="s">
        <v>121</v>
      </c>
      <c r="G818" s="32" t="str">
        <f>$B$676&amp;" * "&amp;D229</f>
        <v>rigid_energy * rigid_PET_PUR_POLY_mass_pyrolysis</v>
      </c>
      <c r="H818" s="220" t="s">
        <v>15</v>
      </c>
      <c r="I818" s="6" t="str">
        <f t="shared" si="132"/>
        <v>PET</v>
      </c>
      <c r="J818" t="s">
        <v>2172</v>
      </c>
      <c r="K818" s="33">
        <f t="shared" si="130"/>
        <v>0</v>
      </c>
      <c r="L818" t="s">
        <v>121</v>
      </c>
      <c r="M818" t="str">
        <f t="shared" si="131"/>
        <v>rigid_PET_PYRO_PUR_energy_pyrolysis - rigid_PET_PUR_POLY_energy_pyrolysis</v>
      </c>
      <c r="N818" s="19" t="s">
        <v>1005</v>
      </c>
    </row>
    <row r="819" spans="1:14" x14ac:dyDescent="0.2">
      <c r="A819" s="19"/>
      <c r="B819" s="220"/>
      <c r="C819" s="6" t="str">
        <f t="shared" si="129"/>
        <v>PE</v>
      </c>
      <c r="D819" t="s">
        <v>2195</v>
      </c>
      <c r="E819" s="33">
        <f>$C$676*E230</f>
        <v>688.93871026559032</v>
      </c>
      <c r="F819" t="s">
        <v>121</v>
      </c>
      <c r="G819" s="32" t="str">
        <f>$B$676&amp;" * "&amp;D230</f>
        <v>rigid_energy * rigid_PE_PUR_POLY_mass_pyrolysis</v>
      </c>
      <c r="H819" s="220"/>
      <c r="I819" s="6" t="str">
        <f t="shared" si="132"/>
        <v>PE</v>
      </c>
      <c r="J819" t="s">
        <v>2173</v>
      </c>
      <c r="K819" s="33">
        <f t="shared" si="130"/>
        <v>14.059973678889719</v>
      </c>
      <c r="L819" t="s">
        <v>121</v>
      </c>
      <c r="M819" t="str">
        <f t="shared" si="131"/>
        <v>rigid_PE_PYRO_PUR_energy_pyrolysis - rigid_PE_PUR_POLY_energy_pyrolysis</v>
      </c>
      <c r="N819" s="19" t="s">
        <v>1005</v>
      </c>
    </row>
    <row r="820" spans="1:14" x14ac:dyDescent="0.2">
      <c r="A820" s="19"/>
      <c r="B820" s="220"/>
      <c r="C820" s="6" t="str">
        <f t="shared" si="129"/>
        <v>PP</v>
      </c>
      <c r="D820" t="s">
        <v>2196</v>
      </c>
      <c r="E820" s="33">
        <f>$C$676*E231</f>
        <v>1545.194492924544</v>
      </c>
      <c r="F820" t="s">
        <v>121</v>
      </c>
      <c r="G820" s="32" t="str">
        <f>$B$676&amp;" * "&amp;D231</f>
        <v>rigid_energy * rigid_PP_PUR_POLY_mass_pyrolysis</v>
      </c>
      <c r="H820" s="220"/>
      <c r="I820" s="6" t="str">
        <f t="shared" si="132"/>
        <v>PP</v>
      </c>
      <c r="J820" t="s">
        <v>2174</v>
      </c>
      <c r="K820" s="33">
        <f t="shared" si="130"/>
        <v>31.534581488255981</v>
      </c>
      <c r="L820" t="s">
        <v>121</v>
      </c>
      <c r="M820" t="str">
        <f t="shared" si="131"/>
        <v>rigid_PP_PYRO_PUR_energy_pyrolysis - rigid_PP_PUR_POLY_energy_pyrolysis</v>
      </c>
      <c r="N820" s="19" t="s">
        <v>1005</v>
      </c>
    </row>
    <row r="821" spans="1:14" x14ac:dyDescent="0.2">
      <c r="A821" s="19"/>
      <c r="B821" s="220"/>
      <c r="C821" s="6" t="str">
        <f t="shared" si="129"/>
        <v>PS</v>
      </c>
      <c r="D821" t="s">
        <v>2197</v>
      </c>
      <c r="E821" s="33">
        <f>$C$676*E232</f>
        <v>202.3073990462448</v>
      </c>
      <c r="F821" t="s">
        <v>121</v>
      </c>
      <c r="G821" s="32" t="str">
        <f>$B$676&amp;" * "&amp;D232</f>
        <v>rigid_energy * rigid_PS_PUR_POLY_mass_pyrolysis</v>
      </c>
      <c r="H821" s="220"/>
      <c r="I821" s="6" t="str">
        <f t="shared" si="132"/>
        <v>PS</v>
      </c>
      <c r="J821" t="s">
        <v>2175</v>
      </c>
      <c r="K821" s="33">
        <f t="shared" si="130"/>
        <v>4.128722429515193</v>
      </c>
      <c r="L821" t="s">
        <v>121</v>
      </c>
      <c r="M821" t="str">
        <f t="shared" si="131"/>
        <v>rigid_PS_PYRO_PUR_energy_pyrolysis - rigid_PS_PUR_POLY_energy_pyrolysis</v>
      </c>
      <c r="N821" s="19" t="s">
        <v>1005</v>
      </c>
    </row>
    <row r="822" spans="1:14" x14ac:dyDescent="0.2">
      <c r="A822" s="19"/>
      <c r="B822" s="220"/>
      <c r="C822" s="6" t="str">
        <f t="shared" si="129"/>
        <v>Other</v>
      </c>
      <c r="D822" t="s">
        <v>2198</v>
      </c>
      <c r="E822" s="33">
        <f>$C$676*E233</f>
        <v>1011.5369952312235</v>
      </c>
      <c r="F822" t="s">
        <v>121</v>
      </c>
      <c r="G822" s="32" t="str">
        <f>$B$676&amp;" * "&amp;D233</f>
        <v>rigid_energy * rigid_Oth_PUR_POLY_mass_pyrolysis</v>
      </c>
      <c r="H822" s="220"/>
      <c r="I822" s="6" t="str">
        <f t="shared" si="132"/>
        <v>Other</v>
      </c>
      <c r="J822" t="s">
        <v>2176</v>
      </c>
      <c r="K822" s="33">
        <f t="shared" si="130"/>
        <v>20.64361214757605</v>
      </c>
      <c r="L822" t="s">
        <v>121</v>
      </c>
      <c r="M822" t="str">
        <f t="shared" si="131"/>
        <v>rigid_Oth_PYRO_PUR_energy_pyrolysis - rigid_Oth_PUR_POLY_energy_pyrolysis</v>
      </c>
      <c r="N822" s="19" t="s">
        <v>1005</v>
      </c>
    </row>
    <row r="823" spans="1:14" x14ac:dyDescent="0.2">
      <c r="A823" s="19"/>
      <c r="B823" s="220" t="s">
        <v>42</v>
      </c>
      <c r="C823" s="6" t="str">
        <f t="shared" si="129"/>
        <v>PET</v>
      </c>
      <c r="D823" t="s">
        <v>2199</v>
      </c>
      <c r="E823" s="33">
        <f>$C$677*E234</f>
        <v>0</v>
      </c>
      <c r="F823" t="s">
        <v>121</v>
      </c>
      <c r="G823" s="32" t="str">
        <f>$B$677&amp;" * "&amp;D234</f>
        <v>soft_energy * soft_PET_PUR_POLY_mass_pyrolysis</v>
      </c>
      <c r="H823" s="220" t="s">
        <v>42</v>
      </c>
      <c r="I823" s="6" t="str">
        <f t="shared" si="132"/>
        <v>PET</v>
      </c>
      <c r="J823" t="s">
        <v>2177</v>
      </c>
      <c r="K823" s="33">
        <f t="shared" si="130"/>
        <v>0</v>
      </c>
      <c r="L823" t="s">
        <v>121</v>
      </c>
      <c r="M823" t="str">
        <f t="shared" si="131"/>
        <v>soft_PET_PYRO_PUR_energy_pyrolysis - soft_PET_PUR_POLY_energy_pyrolysis</v>
      </c>
      <c r="N823" s="19" t="s">
        <v>1005</v>
      </c>
    </row>
    <row r="824" spans="1:14" x14ac:dyDescent="0.2">
      <c r="A824" s="19"/>
      <c r="B824" s="220"/>
      <c r="C824" s="6" t="str">
        <f t="shared" si="129"/>
        <v>PE</v>
      </c>
      <c r="D824" t="s">
        <v>2200</v>
      </c>
      <c r="E824" s="33">
        <f>$C$677*E235</f>
        <v>5870.2640907427776</v>
      </c>
      <c r="F824" t="s">
        <v>121</v>
      </c>
      <c r="G824" s="32" t="str">
        <f>$B$677&amp;" * "&amp;D235</f>
        <v>soft_energy * soft_PE_PUR_POLY_mass_pyrolysis</v>
      </c>
      <c r="H824" s="220"/>
      <c r="I824" s="6" t="str">
        <f t="shared" si="132"/>
        <v>PE</v>
      </c>
      <c r="J824" t="s">
        <v>2152</v>
      </c>
      <c r="K824" s="33">
        <f t="shared" si="130"/>
        <v>119.80130797434322</v>
      </c>
      <c r="L824" t="s">
        <v>121</v>
      </c>
      <c r="M824" t="str">
        <f t="shared" si="131"/>
        <v>soft_PE_PYRO_PUR_energy_pyrolysis - soft_PE_PUR_POLY_energy_pyrolysis</v>
      </c>
      <c r="N824" s="19" t="s">
        <v>1005</v>
      </c>
    </row>
    <row r="825" spans="1:14" x14ac:dyDescent="0.2">
      <c r="A825" s="19"/>
      <c r="B825" s="220"/>
      <c r="C825" s="6" t="str">
        <f t="shared" si="129"/>
        <v>PP</v>
      </c>
      <c r="D825" t="s">
        <v>2201</v>
      </c>
      <c r="E825" s="33">
        <f>$C$677*E236</f>
        <v>0</v>
      </c>
      <c r="F825" t="s">
        <v>121</v>
      </c>
      <c r="G825" s="32" t="str">
        <f>$B$677&amp;" * "&amp;D236</f>
        <v>soft_energy * soft_PP_PUR_POLY_mass_pyrolysis</v>
      </c>
      <c r="H825" s="220"/>
      <c r="I825" s="6" t="str">
        <f t="shared" si="132"/>
        <v>PP</v>
      </c>
      <c r="J825" t="s">
        <v>2178</v>
      </c>
      <c r="K825" s="33">
        <f t="shared" si="130"/>
        <v>0</v>
      </c>
      <c r="L825" t="s">
        <v>121</v>
      </c>
      <c r="M825" t="str">
        <f t="shared" si="131"/>
        <v>soft_PP_PYRO_PUR_energy_pyrolysis - soft_PP_PUR_POLY_energy_pyrolysis</v>
      </c>
      <c r="N825" s="19" t="s">
        <v>1005</v>
      </c>
    </row>
    <row r="826" spans="1:14" x14ac:dyDescent="0.2">
      <c r="A826" s="19"/>
      <c r="B826" s="220"/>
      <c r="C826" s="6" t="str">
        <f t="shared" si="129"/>
        <v>PS</v>
      </c>
      <c r="D826" t="s">
        <v>2202</v>
      </c>
      <c r="E826" s="33">
        <f>$C$677*E237</f>
        <v>0</v>
      </c>
      <c r="F826" t="s">
        <v>121</v>
      </c>
      <c r="G826" s="32" t="str">
        <f>$B$677&amp;" * "&amp;D237</f>
        <v>soft_energy * soft_PS_PUR_POLY_mass_pyrolysis</v>
      </c>
      <c r="H826" s="220"/>
      <c r="I826" s="6" t="str">
        <f t="shared" si="132"/>
        <v>PS</v>
      </c>
      <c r="J826" t="s">
        <v>2179</v>
      </c>
      <c r="K826" s="33">
        <f t="shared" si="130"/>
        <v>0</v>
      </c>
      <c r="L826" t="s">
        <v>121</v>
      </c>
      <c r="M826" t="str">
        <f t="shared" si="131"/>
        <v>soft_PS_PYRO_PUR_energy_pyrolysis - soft_PS_PUR_POLY_energy_pyrolysis</v>
      </c>
      <c r="N826" s="19" t="s">
        <v>1005</v>
      </c>
    </row>
    <row r="827" spans="1:14" x14ac:dyDescent="0.2">
      <c r="A827" s="19"/>
      <c r="B827" s="227"/>
      <c r="C827" s="60" t="str">
        <f t="shared" si="129"/>
        <v>Other</v>
      </c>
      <c r="D827" s="44" t="s">
        <v>2203</v>
      </c>
      <c r="E827" s="62">
        <f>$C$677*E238</f>
        <v>1922.216269773417</v>
      </c>
      <c r="F827" s="44" t="s">
        <v>121</v>
      </c>
      <c r="G827" s="32" t="str">
        <f>$B$677&amp;" * "&amp;D238</f>
        <v>soft_energy * soft_Oth_PUR_POLY_mass_pyrolysis</v>
      </c>
      <c r="H827" s="220"/>
      <c r="I827" s="6" t="str">
        <f t="shared" si="132"/>
        <v>Other</v>
      </c>
      <c r="J827" t="s">
        <v>2180</v>
      </c>
      <c r="K827" s="33">
        <f t="shared" si="130"/>
        <v>39.228903464763562</v>
      </c>
      <c r="L827" t="s">
        <v>121</v>
      </c>
      <c r="M827" t="str">
        <f t="shared" si="131"/>
        <v>soft_Oth_PYRO_PUR_energy_pyrolysis - soft_Oth_PUR_POLY_energy_pyrolysis</v>
      </c>
      <c r="N827" s="19" t="s">
        <v>1005</v>
      </c>
    </row>
    <row r="828" spans="1:14" ht="25" customHeight="1" x14ac:dyDescent="0.2">
      <c r="A828" s="19"/>
      <c r="B828" s="214" t="s">
        <v>45</v>
      </c>
      <c r="C828" s="214"/>
      <c r="D828" s="214"/>
      <c r="E828" s="214"/>
      <c r="F828" s="214"/>
      <c r="G828" s="214"/>
      <c r="H828" s="214"/>
      <c r="I828" s="214"/>
      <c r="J828" s="214"/>
      <c r="K828" s="214"/>
      <c r="L828" s="214"/>
      <c r="M828" s="214"/>
      <c r="N828" s="19"/>
    </row>
    <row r="829" spans="1:14" x14ac:dyDescent="0.2">
      <c r="A829" s="19"/>
      <c r="B829" s="53" t="s">
        <v>46</v>
      </c>
      <c r="C829" s="10" t="s">
        <v>3</v>
      </c>
      <c r="D829" s="10" t="s">
        <v>4</v>
      </c>
      <c r="E829" s="53" t="s">
        <v>7</v>
      </c>
      <c r="F829" s="10"/>
      <c r="G829" s="40"/>
      <c r="H829" s="53" t="s">
        <v>49</v>
      </c>
      <c r="I829" s="53" t="s">
        <v>3</v>
      </c>
      <c r="J829" s="53" t="s">
        <v>4</v>
      </c>
      <c r="K829" s="53" t="s">
        <v>7</v>
      </c>
      <c r="L829" s="10"/>
      <c r="M829" s="10"/>
      <c r="N829" s="19"/>
    </row>
    <row r="830" spans="1:14" x14ac:dyDescent="0.2">
      <c r="A830" s="19"/>
      <c r="B830" t="s">
        <v>2208</v>
      </c>
      <c r="C830" s="33">
        <f>SUM(E813:E817)</f>
        <v>7429.1365999325162</v>
      </c>
      <c r="D830" t="s">
        <v>121</v>
      </c>
      <c r="E830" t="s">
        <v>2204</v>
      </c>
      <c r="F830" s="2"/>
      <c r="G830" s="4"/>
      <c r="H830" t="s">
        <v>2181</v>
      </c>
      <c r="I830" s="33">
        <f>SUM(K813:K817)</f>
        <v>29.627145189683915</v>
      </c>
      <c r="J830" t="s">
        <v>121</v>
      </c>
      <c r="K830" t="s">
        <v>2185</v>
      </c>
      <c r="L830" s="2"/>
      <c r="M830" s="2"/>
      <c r="N830" s="19"/>
    </row>
    <row r="831" spans="1:14" x14ac:dyDescent="0.2">
      <c r="A831" s="19"/>
      <c r="B831" t="s">
        <v>2209</v>
      </c>
      <c r="C831" s="33">
        <f>SUM(E818:E822)</f>
        <v>4599.0865536340025</v>
      </c>
      <c r="D831" t="s">
        <v>121</v>
      </c>
      <c r="E831" t="s">
        <v>2205</v>
      </c>
      <c r="F831" s="2"/>
      <c r="G831" s="4"/>
      <c r="H831" t="s">
        <v>2182</v>
      </c>
      <c r="I831" s="33">
        <f>SUM(K818:K822)</f>
        <v>70.366889744236943</v>
      </c>
      <c r="J831" t="s">
        <v>121</v>
      </c>
      <c r="K831" t="s">
        <v>2186</v>
      </c>
      <c r="L831" s="2"/>
      <c r="M831" s="2"/>
      <c r="N831" s="19"/>
    </row>
    <row r="832" spans="1:14" ht="16" thickBot="1" x14ac:dyDescent="0.25">
      <c r="A832" s="19"/>
      <c r="B832" s="8" t="s">
        <v>2210</v>
      </c>
      <c r="C832" s="34">
        <f>SUM(E823:E827)</f>
        <v>7792.4803605161942</v>
      </c>
      <c r="D832" s="8" t="s">
        <v>121</v>
      </c>
      <c r="E832" s="8" t="s">
        <v>2206</v>
      </c>
      <c r="F832" s="37"/>
      <c r="G832" s="38"/>
      <c r="H832" s="8" t="s">
        <v>2183</v>
      </c>
      <c r="I832" s="34">
        <f>SUM(K823:K827)</f>
        <v>159.03021143910678</v>
      </c>
      <c r="J832" s="8" t="s">
        <v>121</v>
      </c>
      <c r="K832" s="8" t="s">
        <v>2187</v>
      </c>
      <c r="L832" s="37"/>
      <c r="M832" s="37"/>
      <c r="N832" s="19"/>
    </row>
    <row r="833" spans="1:14" ht="16" thickTop="1" x14ac:dyDescent="0.2">
      <c r="A833" s="19"/>
      <c r="B833" s="44" t="s">
        <v>2211</v>
      </c>
      <c r="C833" s="62">
        <f>SUM(C830:C832)</f>
        <v>19820.703514082714</v>
      </c>
      <c r="D833" s="44" t="s">
        <v>121</v>
      </c>
      <c r="E833" s="44" t="s">
        <v>2207</v>
      </c>
      <c r="F833" s="56"/>
      <c r="G833" s="57"/>
      <c r="H833" s="44" t="s">
        <v>2184</v>
      </c>
      <c r="I833" s="62">
        <f>SUM(I830:I832)</f>
        <v>259.02424637302761</v>
      </c>
      <c r="J833" s="44" t="s">
        <v>121</v>
      </c>
      <c r="K833" s="44" t="s">
        <v>2188</v>
      </c>
      <c r="L833" s="56"/>
      <c r="M833" s="56"/>
      <c r="N833" s="19"/>
    </row>
    <row r="834" spans="1:14" x14ac:dyDescent="0.2">
      <c r="A834" s="19"/>
      <c r="B834" s="18"/>
      <c r="C834" s="18"/>
      <c r="D834" s="18"/>
      <c r="E834" s="18"/>
      <c r="F834" s="18"/>
      <c r="G834" s="18"/>
      <c r="H834" s="18"/>
      <c r="I834" s="18"/>
      <c r="J834" s="18"/>
      <c r="K834" s="18"/>
      <c r="L834" s="18"/>
      <c r="M834" s="18"/>
      <c r="N834" s="19"/>
    </row>
    <row r="835" spans="1:14" x14ac:dyDescent="0.2">
      <c r="A835" s="19"/>
      <c r="B835" s="18"/>
      <c r="C835" s="18"/>
      <c r="D835" s="18"/>
      <c r="E835" s="18"/>
      <c r="F835" s="18"/>
      <c r="G835" s="18"/>
      <c r="H835" s="18"/>
      <c r="I835" s="18"/>
      <c r="J835" s="18"/>
      <c r="K835" s="18"/>
      <c r="L835" s="18"/>
      <c r="M835" s="18"/>
      <c r="N835" s="19"/>
    </row>
    <row r="836" spans="1:14" x14ac:dyDescent="0.2">
      <c r="A836" s="19"/>
      <c r="B836" s="18"/>
      <c r="C836" s="18"/>
      <c r="D836" s="18"/>
      <c r="E836" s="18"/>
      <c r="F836" s="18"/>
      <c r="G836" s="18"/>
      <c r="H836" s="18"/>
      <c r="I836" s="18"/>
      <c r="J836" s="18"/>
      <c r="K836" s="18"/>
      <c r="L836" s="18"/>
      <c r="M836" s="18"/>
      <c r="N836" s="19"/>
    </row>
    <row r="837" spans="1:14" x14ac:dyDescent="0.2">
      <c r="A837" s="19"/>
      <c r="B837" s="18"/>
      <c r="C837" s="18"/>
      <c r="D837" s="18"/>
      <c r="E837" s="18"/>
      <c r="F837" s="18"/>
      <c r="G837" s="18"/>
      <c r="H837" s="18"/>
      <c r="I837" s="18"/>
      <c r="J837" s="18"/>
      <c r="K837" s="18"/>
      <c r="L837" s="18"/>
      <c r="M837" s="18"/>
      <c r="N837" s="19"/>
    </row>
    <row r="838" spans="1:14" ht="25" customHeight="1" x14ac:dyDescent="0.2">
      <c r="A838" s="19"/>
      <c r="B838" s="214" t="str">
        <f>B549</f>
        <v>Cracking and polymerization (POLY)</v>
      </c>
      <c r="C838" s="214"/>
      <c r="D838" s="214"/>
      <c r="E838" s="214"/>
      <c r="F838" s="214"/>
      <c r="G838" s="214"/>
      <c r="H838" s="214"/>
      <c r="I838" s="214"/>
      <c r="J838" s="214"/>
      <c r="K838" s="214"/>
      <c r="L838" s="214"/>
      <c r="M838" s="214"/>
      <c r="N838" s="19"/>
    </row>
    <row r="839" spans="1:14" ht="13" customHeight="1" x14ac:dyDescent="0.2">
      <c r="A839" s="19"/>
      <c r="B839" s="163" t="s">
        <v>2</v>
      </c>
      <c r="C839" s="163" t="s">
        <v>3</v>
      </c>
      <c r="D839" s="163" t="s">
        <v>4</v>
      </c>
      <c r="E839" s="163" t="s">
        <v>5</v>
      </c>
      <c r="F839" s="163" t="s">
        <v>6</v>
      </c>
      <c r="G839" s="163" t="s">
        <v>7</v>
      </c>
      <c r="H839" s="163" t="s">
        <v>112</v>
      </c>
      <c r="I839" s="164"/>
      <c r="J839" s="164"/>
      <c r="K839" s="164"/>
      <c r="L839" s="164"/>
      <c r="M839" s="164"/>
      <c r="N839" s="19"/>
    </row>
    <row r="840" spans="1:14" ht="15" customHeight="1" x14ac:dyDescent="0.2">
      <c r="A840" s="19"/>
      <c r="B840" s="170" t="str">
        <f>'info, structure, parameters'!A256</f>
        <v>POLY_energy_pyrolysis</v>
      </c>
      <c r="C840" s="170">
        <f>'info, structure, parameters'!B256</f>
        <v>0.33333333333333331</v>
      </c>
      <c r="D840" s="170" t="str">
        <f>'info, structure, parameters'!C256</f>
        <v>MJ/kg MPW</v>
      </c>
      <c r="E840" s="170">
        <f>'info, structure, parameters'!D256</f>
        <v>0.33333333333333331</v>
      </c>
      <c r="F840" s="170">
        <f>'info, structure, parameters'!E256</f>
        <v>0.33333333333333331</v>
      </c>
      <c r="G840" s="170" t="str">
        <f>'info, structure, parameters'!F256</f>
        <v>Amount of energy inputted during pyrolysis of 1 kg of PS</v>
      </c>
      <c r="H840" s="170">
        <f>'info, structure, parameters'!G256</f>
        <v>5</v>
      </c>
      <c r="I840" s="166"/>
      <c r="J840" s="166"/>
      <c r="K840" s="166"/>
      <c r="L840" s="166"/>
      <c r="M840" s="166"/>
      <c r="N840" s="19"/>
    </row>
    <row r="841" spans="1:14" ht="25" customHeight="1" x14ac:dyDescent="0.2">
      <c r="A841" s="19"/>
      <c r="B841" s="214" t="str">
        <f>B550</f>
        <v>Output from cracking and polymerization</v>
      </c>
      <c r="C841" s="214"/>
      <c r="D841" s="214"/>
      <c r="E841" s="214"/>
      <c r="F841" s="214"/>
      <c r="G841" s="214"/>
      <c r="H841" s="214"/>
      <c r="I841" s="214"/>
      <c r="J841" s="214"/>
      <c r="K841" s="214"/>
      <c r="L841" s="214"/>
      <c r="M841" s="214"/>
      <c r="N841" s="19"/>
    </row>
    <row r="842" spans="1:14" ht="25" customHeight="1" x14ac:dyDescent="0.2">
      <c r="A842" s="19"/>
      <c r="B842" s="214" t="str">
        <f>B551</f>
        <v>New plastic (NEW)</v>
      </c>
      <c r="C842" s="214"/>
      <c r="D842" s="214"/>
      <c r="E842" s="214"/>
      <c r="F842" s="214"/>
      <c r="G842" s="223"/>
      <c r="H842" s="214" t="str">
        <f>H551</f>
        <v>Loss</v>
      </c>
      <c r="I842" s="214"/>
      <c r="J842" s="214"/>
      <c r="K842" s="214"/>
      <c r="L842" s="214"/>
      <c r="M842" s="214"/>
      <c r="N842" s="19"/>
    </row>
    <row r="843" spans="1:14" x14ac:dyDescent="0.2">
      <c r="A843" s="19"/>
      <c r="B843" s="2" t="s">
        <v>21</v>
      </c>
      <c r="C843" s="3" t="s">
        <v>20</v>
      </c>
      <c r="D843" s="2" t="s">
        <v>99</v>
      </c>
      <c r="E843" s="2" t="s">
        <v>3</v>
      </c>
      <c r="F843" s="2" t="s">
        <v>4</v>
      </c>
      <c r="G843" s="4" t="s">
        <v>43</v>
      </c>
      <c r="H843" s="2" t="s">
        <v>21</v>
      </c>
      <c r="I843" s="3" t="s">
        <v>20</v>
      </c>
      <c r="J843" s="2" t="str">
        <f>D843</f>
        <v>Name</v>
      </c>
      <c r="K843" s="2" t="s">
        <v>3</v>
      </c>
      <c r="L843" s="2" t="s">
        <v>4</v>
      </c>
      <c r="M843" s="2" t="s">
        <v>43</v>
      </c>
      <c r="N843" s="19"/>
    </row>
    <row r="844" spans="1:14" x14ac:dyDescent="0.2">
      <c r="A844" s="19"/>
      <c r="B844" s="220" t="s">
        <v>14</v>
      </c>
      <c r="C844" s="6" t="str">
        <f t="shared" ref="C844:C858" si="133">C813</f>
        <v>PET</v>
      </c>
      <c r="D844" t="s">
        <v>2235</v>
      </c>
      <c r="E844" s="33">
        <f>$C$675*E255</f>
        <v>5977.406485638</v>
      </c>
      <c r="F844" t="s">
        <v>121</v>
      </c>
      <c r="G844" s="32" t="str">
        <f>$B$675&amp;" * "&amp;D255</f>
        <v>bottle_energy * bottle_PET_POLY_NEW_mass_pyrolysis</v>
      </c>
      <c r="H844" s="220" t="s">
        <v>14</v>
      </c>
      <c r="I844" s="6" t="str">
        <f>C844</f>
        <v>PET</v>
      </c>
      <c r="J844" t="s">
        <v>2212</v>
      </c>
      <c r="K844" s="33">
        <f t="shared" ref="K844:K858" si="134">E813-E844</f>
        <v>0</v>
      </c>
      <c r="L844" t="s">
        <v>121</v>
      </c>
      <c r="M844" t="str">
        <f t="shared" ref="M844:M858" si="135">D813&amp;" - "&amp;D844</f>
        <v>bottle_PET_PUR_POLY_energy_pyrolysis - bottle_PET_POLY_NEW_energy_pyrolysis</v>
      </c>
      <c r="N844" s="19" t="s">
        <v>1005</v>
      </c>
    </row>
    <row r="845" spans="1:14" x14ac:dyDescent="0.2">
      <c r="A845" s="19"/>
      <c r="B845" s="220"/>
      <c r="C845" s="6" t="str">
        <f t="shared" si="133"/>
        <v>PE</v>
      </c>
      <c r="D845" t="s">
        <v>2236</v>
      </c>
      <c r="E845" s="33">
        <f>$C$675*E256</f>
        <v>1422.6955120086259</v>
      </c>
      <c r="F845" t="s">
        <v>121</v>
      </c>
      <c r="G845" s="32" t="str">
        <f>$B$675&amp;" * "&amp;D256</f>
        <v>bottle_energy * bottle_PE_POLY_NEW_mass_pyrolysis</v>
      </c>
      <c r="H845" s="220"/>
      <c r="I845" s="6" t="str">
        <f t="shared" ref="I845:I858" si="136">C845</f>
        <v>PE</v>
      </c>
      <c r="J845" t="s">
        <v>2213</v>
      </c>
      <c r="K845" s="33">
        <f t="shared" si="134"/>
        <v>29.034602285890287</v>
      </c>
      <c r="L845" t="s">
        <v>121</v>
      </c>
      <c r="M845" t="str">
        <f t="shared" si="135"/>
        <v>bottle_PE_PUR_POLY_energy_pyrolysis - bottle_PE_POLY_NEW_energy_pyrolysis</v>
      </c>
      <c r="N845" s="19" t="s">
        <v>1005</v>
      </c>
    </row>
    <row r="846" spans="1:14" x14ac:dyDescent="0.2">
      <c r="A846" s="19"/>
      <c r="B846" s="220"/>
      <c r="C846" s="6" t="str">
        <f t="shared" si="133"/>
        <v>PP</v>
      </c>
      <c r="D846" t="s">
        <v>2237</v>
      </c>
      <c r="E846" s="33">
        <f>$C$675*E257</f>
        <v>0</v>
      </c>
      <c r="F846" t="s">
        <v>121</v>
      </c>
      <c r="G846" s="32" t="str">
        <f>$B$675&amp;" * "&amp;D257</f>
        <v>bottle_energy * bottle_PP_POLY_NEW_mass_pyrolysis</v>
      </c>
      <c r="H846" s="220"/>
      <c r="I846" s="6" t="str">
        <f t="shared" si="136"/>
        <v>PP</v>
      </c>
      <c r="J846" t="s">
        <v>2214</v>
      </c>
      <c r="K846" s="33">
        <f t="shared" si="134"/>
        <v>0</v>
      </c>
      <c r="L846" t="s">
        <v>121</v>
      </c>
      <c r="M846" t="str">
        <f t="shared" si="135"/>
        <v>bottle_PP_PUR_POLY_energy_pyrolysis - bottle_PP_POLY_NEW_energy_pyrolysis</v>
      </c>
      <c r="N846" s="19" t="s">
        <v>1005</v>
      </c>
    </row>
    <row r="847" spans="1:14" x14ac:dyDescent="0.2">
      <c r="A847" s="19"/>
      <c r="B847" s="220"/>
      <c r="C847" s="6" t="str">
        <f t="shared" si="133"/>
        <v>PS</v>
      </c>
      <c r="D847" t="s">
        <v>2238</v>
      </c>
      <c r="E847" s="33">
        <f>$C$675*E258</f>
        <v>0</v>
      </c>
      <c r="F847" t="s">
        <v>121</v>
      </c>
      <c r="G847" s="32" t="str">
        <f>$B$675&amp;" * "&amp;D258</f>
        <v>bottle_energy * bottle_PS_POLY_NEW_mass_pyrolysis</v>
      </c>
      <c r="H847" s="220"/>
      <c r="I847" s="6" t="str">
        <f t="shared" si="136"/>
        <v>PS</v>
      </c>
      <c r="J847" t="s">
        <v>2215</v>
      </c>
      <c r="K847" s="33">
        <f t="shared" si="134"/>
        <v>0</v>
      </c>
      <c r="L847" t="s">
        <v>121</v>
      </c>
      <c r="M847" t="str">
        <f t="shared" si="135"/>
        <v>bottle_PS_PUR_POLY_energy_pyrolysis - bottle_PS_POLY_NEW_energy_pyrolysis</v>
      </c>
      <c r="N847" s="19" t="s">
        <v>1005</v>
      </c>
    </row>
    <row r="848" spans="1:14" x14ac:dyDescent="0.2">
      <c r="A848" s="19"/>
      <c r="B848" s="220"/>
      <c r="C848" s="6" t="str">
        <f t="shared" si="133"/>
        <v>Other</v>
      </c>
      <c r="D848" t="s">
        <v>2239</v>
      </c>
      <c r="E848" s="33">
        <f>$C$675*E259</f>
        <v>0</v>
      </c>
      <c r="F848" t="s">
        <v>121</v>
      </c>
      <c r="G848" s="32" t="str">
        <f>$B$675&amp;" * "&amp;D259</f>
        <v>bottle_energy * bottle_Oth_POLY_NEW_mass_pyrolysis</v>
      </c>
      <c r="H848" s="220"/>
      <c r="I848" s="6" t="str">
        <f t="shared" si="136"/>
        <v>Other</v>
      </c>
      <c r="J848" t="s">
        <v>2216</v>
      </c>
      <c r="K848" s="33">
        <f t="shared" si="134"/>
        <v>0</v>
      </c>
      <c r="L848" t="s">
        <v>121</v>
      </c>
      <c r="M848" t="str">
        <f t="shared" si="135"/>
        <v>bottle_Oth_PUR_POLY_energy_pyrolysis - bottle_Oth_POLY_NEW_energy_pyrolysis</v>
      </c>
      <c r="N848" s="19" t="s">
        <v>1005</v>
      </c>
    </row>
    <row r="849" spans="1:14" x14ac:dyDescent="0.2">
      <c r="A849" s="19"/>
      <c r="B849" s="220" t="s">
        <v>15</v>
      </c>
      <c r="C849" s="6" t="str">
        <f t="shared" si="133"/>
        <v>PET</v>
      </c>
      <c r="D849" t="s">
        <v>2240</v>
      </c>
      <c r="E849" s="33">
        <f>$C$676*E260</f>
        <v>1151.1089561663998</v>
      </c>
      <c r="F849" t="s">
        <v>121</v>
      </c>
      <c r="G849" s="32" t="str">
        <f>$B$676&amp;" * "&amp;D260</f>
        <v>rigid_energy * rigid_PET_POLY_NEW_mass_pyrolysis</v>
      </c>
      <c r="H849" s="220" t="s">
        <v>15</v>
      </c>
      <c r="I849" s="6" t="str">
        <f t="shared" si="136"/>
        <v>PET</v>
      </c>
      <c r="J849" t="s">
        <v>2217</v>
      </c>
      <c r="K849" s="33">
        <f t="shared" si="134"/>
        <v>0</v>
      </c>
      <c r="L849" t="s">
        <v>121</v>
      </c>
      <c r="M849" t="str">
        <f t="shared" si="135"/>
        <v>rigid_PET_PUR_POLY_energy_pyrolysis - rigid_PET_POLY_NEW_energy_pyrolysis</v>
      </c>
      <c r="N849" s="19" t="s">
        <v>1005</v>
      </c>
    </row>
    <row r="850" spans="1:14" x14ac:dyDescent="0.2">
      <c r="A850" s="19"/>
      <c r="B850" s="220"/>
      <c r="C850" s="6" t="str">
        <f t="shared" si="133"/>
        <v>PE</v>
      </c>
      <c r="D850" t="s">
        <v>2241</v>
      </c>
      <c r="E850" s="33">
        <f>$C$676*E261</f>
        <v>675.1599360602786</v>
      </c>
      <c r="F850" t="s">
        <v>121</v>
      </c>
      <c r="G850" s="32" t="str">
        <f>$B$676&amp;" * "&amp;D261</f>
        <v>rigid_energy * rigid_PE_POLY_NEW_mass_pyrolysis</v>
      </c>
      <c r="H850" s="220"/>
      <c r="I850" s="6" t="str">
        <f t="shared" si="136"/>
        <v>PE</v>
      </c>
      <c r="J850" t="s">
        <v>2218</v>
      </c>
      <c r="K850" s="33">
        <f t="shared" si="134"/>
        <v>13.77877420531172</v>
      </c>
      <c r="L850" t="s">
        <v>121</v>
      </c>
      <c r="M850" t="str">
        <f t="shared" si="135"/>
        <v>rigid_PE_PUR_POLY_energy_pyrolysis - rigid_PE_POLY_NEW_energy_pyrolysis</v>
      </c>
      <c r="N850" s="19" t="s">
        <v>1005</v>
      </c>
    </row>
    <row r="851" spans="1:14" x14ac:dyDescent="0.2">
      <c r="A851" s="19"/>
      <c r="B851" s="220"/>
      <c r="C851" s="6" t="str">
        <f t="shared" si="133"/>
        <v>PP</v>
      </c>
      <c r="D851" t="s">
        <v>2242</v>
      </c>
      <c r="E851" s="33">
        <f>$C$676*E262</f>
        <v>1514.2906030660529</v>
      </c>
      <c r="F851" t="s">
        <v>121</v>
      </c>
      <c r="G851" s="32" t="str">
        <f>$B$676&amp;" * "&amp;D262</f>
        <v>rigid_energy * rigid_PP_POLY_NEW_mass_pyrolysis</v>
      </c>
      <c r="H851" s="220"/>
      <c r="I851" s="6" t="str">
        <f t="shared" si="136"/>
        <v>PP</v>
      </c>
      <c r="J851" t="s">
        <v>2219</v>
      </c>
      <c r="K851" s="33">
        <f t="shared" si="134"/>
        <v>30.903889858491084</v>
      </c>
      <c r="L851" t="s">
        <v>121</v>
      </c>
      <c r="M851" t="str">
        <f t="shared" si="135"/>
        <v>rigid_PP_PUR_POLY_energy_pyrolysis - rigid_PP_POLY_NEW_energy_pyrolysis</v>
      </c>
      <c r="N851" s="19" t="s">
        <v>1005</v>
      </c>
    </row>
    <row r="852" spans="1:14" x14ac:dyDescent="0.2">
      <c r="A852" s="19"/>
      <c r="B852" s="220"/>
      <c r="C852" s="6" t="str">
        <f t="shared" si="133"/>
        <v>PS</v>
      </c>
      <c r="D852" t="s">
        <v>2243</v>
      </c>
      <c r="E852" s="33">
        <f>$C$676*E263</f>
        <v>198.2612510653199</v>
      </c>
      <c r="F852" t="s">
        <v>121</v>
      </c>
      <c r="G852" s="32" t="str">
        <f>$B$676&amp;" * "&amp;D263</f>
        <v>rigid_energy * rigid_PS_POLY_NEW_mass_pyrolysis</v>
      </c>
      <c r="H852" s="220"/>
      <c r="I852" s="6" t="str">
        <f t="shared" si="136"/>
        <v>PS</v>
      </c>
      <c r="J852" t="s">
        <v>2220</v>
      </c>
      <c r="K852" s="33">
        <f t="shared" si="134"/>
        <v>4.0461479809248999</v>
      </c>
      <c r="L852" t="s">
        <v>121</v>
      </c>
      <c r="M852" t="str">
        <f t="shared" si="135"/>
        <v>rigid_PS_PUR_POLY_energy_pyrolysis - rigid_PS_POLY_NEW_energy_pyrolysis</v>
      </c>
      <c r="N852" s="19" t="s">
        <v>1005</v>
      </c>
    </row>
    <row r="853" spans="1:14" x14ac:dyDescent="0.2">
      <c r="A853" s="19"/>
      <c r="B853" s="220"/>
      <c r="C853" s="6" t="str">
        <f t="shared" si="133"/>
        <v>Other</v>
      </c>
      <c r="D853" t="s">
        <v>2244</v>
      </c>
      <c r="E853" s="33">
        <f>$C$676*E264</f>
        <v>991.30625532659906</v>
      </c>
      <c r="F853" t="s">
        <v>121</v>
      </c>
      <c r="G853" s="32" t="str">
        <f>$B$676&amp;" * "&amp;D264</f>
        <v>rigid_energy * rigid_Oth_POLY_NEW_mass_pyrolysis</v>
      </c>
      <c r="H853" s="220"/>
      <c r="I853" s="6" t="str">
        <f t="shared" si="136"/>
        <v>Other</v>
      </c>
      <c r="J853" t="s">
        <v>2221</v>
      </c>
      <c r="K853" s="33">
        <f t="shared" si="134"/>
        <v>20.230739904624443</v>
      </c>
      <c r="L853" t="s">
        <v>121</v>
      </c>
      <c r="M853" t="str">
        <f t="shared" si="135"/>
        <v>rigid_Oth_PUR_POLY_energy_pyrolysis - rigid_Oth_POLY_NEW_energy_pyrolysis</v>
      </c>
      <c r="N853" s="19" t="s">
        <v>1005</v>
      </c>
    </row>
    <row r="854" spans="1:14" x14ac:dyDescent="0.2">
      <c r="A854" s="19"/>
      <c r="B854" s="220" t="s">
        <v>42</v>
      </c>
      <c r="C854" s="6" t="str">
        <f t="shared" si="133"/>
        <v>PET</v>
      </c>
      <c r="D854" t="s">
        <v>2245</v>
      </c>
      <c r="E854" s="33">
        <f>$C$677*E265</f>
        <v>0</v>
      </c>
      <c r="F854" t="s">
        <v>121</v>
      </c>
      <c r="G854" s="32" t="str">
        <f>$B$677&amp;" * "&amp;D265</f>
        <v>soft_energy * soft_PET_POLY_NEW_mass_pyrolysis</v>
      </c>
      <c r="H854" s="220" t="s">
        <v>42</v>
      </c>
      <c r="I854" s="6" t="str">
        <f t="shared" si="136"/>
        <v>PET</v>
      </c>
      <c r="J854" t="s">
        <v>2222</v>
      </c>
      <c r="K854" s="33">
        <f t="shared" si="134"/>
        <v>0</v>
      </c>
      <c r="L854" t="s">
        <v>121</v>
      </c>
      <c r="M854" t="str">
        <f t="shared" si="135"/>
        <v>soft_PET_PUR_POLY_energy_pyrolysis - soft_PET_POLY_NEW_energy_pyrolysis</v>
      </c>
      <c r="N854" s="19" t="s">
        <v>1005</v>
      </c>
    </row>
    <row r="855" spans="1:14" x14ac:dyDescent="0.2">
      <c r="A855" s="19"/>
      <c r="B855" s="220"/>
      <c r="C855" s="6" t="str">
        <f t="shared" si="133"/>
        <v>PE</v>
      </c>
      <c r="D855" t="s">
        <v>2246</v>
      </c>
      <c r="E855" s="33">
        <f>$C$677*E266</f>
        <v>5752.8588089279219</v>
      </c>
      <c r="F855" t="s">
        <v>121</v>
      </c>
      <c r="G855" s="32" t="str">
        <f>$B$677&amp;" * "&amp;D266</f>
        <v>soft_energy * soft_PE_POLY_NEW_mass_pyrolysis</v>
      </c>
      <c r="H855" s="220"/>
      <c r="I855" s="6" t="str">
        <f t="shared" si="136"/>
        <v>PE</v>
      </c>
      <c r="J855" t="s">
        <v>2223</v>
      </c>
      <c r="K855" s="33">
        <f t="shared" si="134"/>
        <v>117.4052818148557</v>
      </c>
      <c r="L855" t="s">
        <v>121</v>
      </c>
      <c r="M855" t="str">
        <f t="shared" si="135"/>
        <v>soft_PE_PUR_POLY_energy_pyrolysis - soft_PE_POLY_NEW_energy_pyrolysis</v>
      </c>
      <c r="N855" s="19" t="s">
        <v>1005</v>
      </c>
    </row>
    <row r="856" spans="1:14" x14ac:dyDescent="0.2">
      <c r="A856" s="19"/>
      <c r="B856" s="220"/>
      <c r="C856" s="6" t="str">
        <f t="shared" si="133"/>
        <v>PP</v>
      </c>
      <c r="D856" t="s">
        <v>2247</v>
      </c>
      <c r="E856" s="33">
        <f>$C$677*E267</f>
        <v>0</v>
      </c>
      <c r="F856" t="s">
        <v>121</v>
      </c>
      <c r="G856" s="32" t="str">
        <f>$B$677&amp;" * "&amp;D267</f>
        <v>soft_energy * soft_PP_POLY_NEW_mass_pyrolysis</v>
      </c>
      <c r="H856" s="220"/>
      <c r="I856" s="6" t="str">
        <f t="shared" si="136"/>
        <v>PP</v>
      </c>
      <c r="J856" t="s">
        <v>2224</v>
      </c>
      <c r="K856" s="33">
        <f t="shared" si="134"/>
        <v>0</v>
      </c>
      <c r="L856" t="s">
        <v>121</v>
      </c>
      <c r="M856" t="str">
        <f t="shared" si="135"/>
        <v>soft_PP_PUR_POLY_energy_pyrolysis - soft_PP_POLY_NEW_energy_pyrolysis</v>
      </c>
      <c r="N856" s="19" t="s">
        <v>1005</v>
      </c>
    </row>
    <row r="857" spans="1:14" x14ac:dyDescent="0.2">
      <c r="A857" s="19"/>
      <c r="B857" s="220"/>
      <c r="C857" s="6" t="str">
        <f t="shared" si="133"/>
        <v>PS</v>
      </c>
      <c r="D857" t="s">
        <v>2248</v>
      </c>
      <c r="E857" s="33">
        <f>$C$677*E268</f>
        <v>0</v>
      </c>
      <c r="F857" t="s">
        <v>121</v>
      </c>
      <c r="G857" s="32" t="str">
        <f>$B$677&amp;" * "&amp;D268</f>
        <v>soft_energy * soft_PS_POLY_NEW_mass_pyrolysis</v>
      </c>
      <c r="H857" s="220"/>
      <c r="I857" s="6" t="str">
        <f t="shared" si="136"/>
        <v>PS</v>
      </c>
      <c r="J857" t="s">
        <v>2225</v>
      </c>
      <c r="K857" s="33">
        <f t="shared" si="134"/>
        <v>0</v>
      </c>
      <c r="L857" t="s">
        <v>121</v>
      </c>
      <c r="M857" t="str">
        <f t="shared" si="135"/>
        <v>soft_PS_PUR_POLY_energy_pyrolysis - soft_PS_POLY_NEW_energy_pyrolysis</v>
      </c>
      <c r="N857" s="19" t="s">
        <v>1005</v>
      </c>
    </row>
    <row r="858" spans="1:14" x14ac:dyDescent="0.2">
      <c r="A858" s="19"/>
      <c r="B858" s="227"/>
      <c r="C858" s="60" t="str">
        <f t="shared" si="133"/>
        <v>Other</v>
      </c>
      <c r="D858" s="44" t="s">
        <v>2249</v>
      </c>
      <c r="E858" s="62">
        <f>$C$677*E269</f>
        <v>1883.7719443779486</v>
      </c>
      <c r="F858" s="44" t="s">
        <v>121</v>
      </c>
      <c r="G858" s="32" t="str">
        <f>$B$677&amp;" * "&amp;D269</f>
        <v>soft_energy * soft_Oth_POLY_NEW_mass_pyrolysis</v>
      </c>
      <c r="H858" s="220"/>
      <c r="I858" s="6" t="str">
        <f t="shared" si="136"/>
        <v>Other</v>
      </c>
      <c r="J858" t="s">
        <v>2226</v>
      </c>
      <c r="K858" s="33">
        <f t="shared" si="134"/>
        <v>38.444325395468468</v>
      </c>
      <c r="L858" t="s">
        <v>121</v>
      </c>
      <c r="M858" t="str">
        <f t="shared" si="135"/>
        <v>soft_Oth_PUR_POLY_energy_pyrolysis - soft_Oth_POLY_NEW_energy_pyrolysis</v>
      </c>
      <c r="N858" s="19" t="s">
        <v>1005</v>
      </c>
    </row>
    <row r="859" spans="1:14" ht="25" customHeight="1" x14ac:dyDescent="0.2">
      <c r="A859" s="19"/>
      <c r="B859" s="214" t="s">
        <v>45</v>
      </c>
      <c r="C859" s="214"/>
      <c r="D859" s="214"/>
      <c r="E859" s="214"/>
      <c r="F859" s="214"/>
      <c r="G859" s="214"/>
      <c r="H859" s="214"/>
      <c r="I859" s="214"/>
      <c r="J859" s="214"/>
      <c r="K859" s="214"/>
      <c r="L859" s="214"/>
      <c r="M859" s="214"/>
      <c r="N859" s="19"/>
    </row>
    <row r="860" spans="1:14" x14ac:dyDescent="0.2">
      <c r="A860" s="19"/>
      <c r="B860" s="53" t="s">
        <v>46</v>
      </c>
      <c r="C860" s="10" t="s">
        <v>3</v>
      </c>
      <c r="D860" s="10" t="s">
        <v>4</v>
      </c>
      <c r="E860" s="53" t="s">
        <v>7</v>
      </c>
      <c r="F860" s="10"/>
      <c r="G860" s="40"/>
      <c r="H860" s="53" t="s">
        <v>49</v>
      </c>
      <c r="I860" s="53" t="s">
        <v>3</v>
      </c>
      <c r="J860" s="53" t="s">
        <v>4</v>
      </c>
      <c r="K860" s="53" t="s">
        <v>7</v>
      </c>
      <c r="L860" s="10"/>
      <c r="M860" s="10"/>
      <c r="N860" s="19"/>
    </row>
    <row r="861" spans="1:14" x14ac:dyDescent="0.2">
      <c r="A861" s="19"/>
      <c r="B861" s="39" t="s">
        <v>3088</v>
      </c>
      <c r="C861" s="168">
        <f>C840*(C244)</f>
        <v>193.54839671999997</v>
      </c>
      <c r="D861" s="39" t="s">
        <v>121</v>
      </c>
      <c r="E861" t="s">
        <v>3087</v>
      </c>
      <c r="F861" s="168"/>
      <c r="G861" s="169"/>
      <c r="H861" s="53"/>
      <c r="I861" s="53"/>
      <c r="J861" s="53"/>
      <c r="K861" s="53"/>
      <c r="L861" s="10"/>
      <c r="M861" s="10"/>
      <c r="N861" s="19"/>
    </row>
    <row r="862" spans="1:14" x14ac:dyDescent="0.2">
      <c r="A862" s="19"/>
      <c r="B862" t="s">
        <v>2254</v>
      </c>
      <c r="C862" s="33">
        <f>SUM(E844:E848)</f>
        <v>7400.1019976466259</v>
      </c>
      <c r="D862" t="s">
        <v>121</v>
      </c>
      <c r="E862" t="s">
        <v>2250</v>
      </c>
      <c r="F862" s="2"/>
      <c r="G862" s="4"/>
      <c r="H862" t="s">
        <v>2231</v>
      </c>
      <c r="I862" s="33">
        <f>SUM(K844:K848)</f>
        <v>29.034602285890287</v>
      </c>
      <c r="J862" t="s">
        <v>121</v>
      </c>
      <c r="K862" t="s">
        <v>2227</v>
      </c>
      <c r="L862" s="2"/>
      <c r="M862" s="2"/>
      <c r="N862" s="19"/>
    </row>
    <row r="863" spans="1:14" x14ac:dyDescent="0.2">
      <c r="A863" s="19"/>
      <c r="B863" t="s">
        <v>2255</v>
      </c>
      <c r="C863" s="33">
        <f>SUM(E849:E853)</f>
        <v>4530.1270016846502</v>
      </c>
      <c r="D863" t="s">
        <v>121</v>
      </c>
      <c r="E863" t="s">
        <v>2251</v>
      </c>
      <c r="F863" s="2"/>
      <c r="G863" s="4"/>
      <c r="H863" t="s">
        <v>2232</v>
      </c>
      <c r="I863" s="33">
        <f>SUM(K849:K853)</f>
        <v>68.959551949352146</v>
      </c>
      <c r="J863" t="s">
        <v>121</v>
      </c>
      <c r="K863" t="s">
        <v>2228</v>
      </c>
      <c r="L863" s="2"/>
      <c r="M863" s="2"/>
      <c r="N863" s="19"/>
    </row>
    <row r="864" spans="1:14" ht="16" thickBot="1" x14ac:dyDescent="0.25">
      <c r="A864" s="19"/>
      <c r="B864" s="8" t="s">
        <v>2256</v>
      </c>
      <c r="C864" s="34">
        <f>SUM(E854:E858)</f>
        <v>7636.6307533058707</v>
      </c>
      <c r="D864" s="8" t="s">
        <v>121</v>
      </c>
      <c r="E864" s="8" t="s">
        <v>2252</v>
      </c>
      <c r="F864" s="37"/>
      <c r="G864" s="38"/>
      <c r="H864" s="8" t="s">
        <v>2233</v>
      </c>
      <c r="I864" s="34">
        <f>SUM(K854:K858)</f>
        <v>155.84960721032417</v>
      </c>
      <c r="J864" s="8" t="s">
        <v>121</v>
      </c>
      <c r="K864" s="8" t="s">
        <v>2229</v>
      </c>
      <c r="L864" s="37"/>
      <c r="M864" s="37"/>
      <c r="N864" s="19"/>
    </row>
    <row r="865" spans="1:14" ht="16" thickTop="1" x14ac:dyDescent="0.2">
      <c r="A865" s="19"/>
      <c r="B865" s="44" t="s">
        <v>2257</v>
      </c>
      <c r="C865" s="62">
        <f>SUM(C862:C864)</f>
        <v>19566.859752637149</v>
      </c>
      <c r="D865" s="44" t="s">
        <v>121</v>
      </c>
      <c r="E865" s="44" t="s">
        <v>2253</v>
      </c>
      <c r="F865" s="56"/>
      <c r="G865" s="57"/>
      <c r="H865" s="44" t="s">
        <v>2234</v>
      </c>
      <c r="I865" s="62">
        <f>SUM(I862:I864)</f>
        <v>253.8437614455666</v>
      </c>
      <c r="J865" s="44" t="s">
        <v>121</v>
      </c>
      <c r="K865" s="44" t="s">
        <v>2230</v>
      </c>
      <c r="L865" s="56"/>
      <c r="M865" s="56"/>
      <c r="N865" s="19"/>
    </row>
    <row r="866" spans="1:14" x14ac:dyDescent="0.2">
      <c r="A866" s="19"/>
      <c r="B866" s="18"/>
      <c r="C866" s="18"/>
      <c r="D866" s="18"/>
      <c r="E866" s="18"/>
      <c r="F866" s="18"/>
      <c r="G866" s="18"/>
      <c r="H866" s="18"/>
      <c r="I866" s="18"/>
      <c r="J866" s="18"/>
      <c r="K866" s="18"/>
      <c r="L866" s="18"/>
      <c r="M866" s="18"/>
      <c r="N866" s="19"/>
    </row>
    <row r="867" spans="1:14" x14ac:dyDescent="0.2">
      <c r="A867" s="19"/>
      <c r="B867" s="18"/>
      <c r="C867" s="18"/>
      <c r="D867" s="18"/>
      <c r="E867" s="18"/>
      <c r="F867" s="18"/>
      <c r="G867" s="18"/>
      <c r="H867" s="18"/>
      <c r="I867" s="18"/>
      <c r="J867" s="18"/>
      <c r="K867" s="18"/>
      <c r="L867" s="18"/>
      <c r="M867" s="18"/>
      <c r="N867" s="19"/>
    </row>
    <row r="868" spans="1:14" x14ac:dyDescent="0.2">
      <c r="A868" s="19"/>
      <c r="B868" s="18"/>
      <c r="C868" s="18"/>
      <c r="D868" s="18"/>
      <c r="E868" s="18"/>
      <c r="F868" s="18"/>
      <c r="G868" s="18"/>
      <c r="H868" s="18"/>
      <c r="I868" s="18"/>
      <c r="J868" s="18"/>
      <c r="K868" s="18"/>
      <c r="L868" s="18"/>
      <c r="M868" s="18"/>
      <c r="N868" s="19"/>
    </row>
    <row r="869" spans="1:14" x14ac:dyDescent="0.2">
      <c r="A869" s="19"/>
      <c r="B869" s="18"/>
      <c r="C869" s="18"/>
      <c r="D869" s="18"/>
      <c r="E869" s="18"/>
      <c r="F869" s="18"/>
      <c r="G869" s="18"/>
      <c r="H869" s="18"/>
      <c r="I869" s="18"/>
      <c r="J869" s="18"/>
      <c r="K869" s="18"/>
      <c r="L869" s="18"/>
      <c r="M869" s="18"/>
      <c r="N869" s="19"/>
    </row>
    <row r="870" spans="1:14" ht="25" customHeight="1" x14ac:dyDescent="0.2">
      <c r="A870" s="19"/>
      <c r="B870" s="214" t="s">
        <v>117</v>
      </c>
      <c r="C870" s="214"/>
      <c r="D870" s="214"/>
      <c r="E870" s="214"/>
      <c r="F870" s="214"/>
      <c r="G870" s="214"/>
      <c r="H870" s="214"/>
      <c r="I870" s="214"/>
      <c r="J870" s="214"/>
      <c r="K870" s="214"/>
      <c r="L870" s="214"/>
      <c r="M870" s="214"/>
      <c r="N870" s="19"/>
    </row>
    <row r="871" spans="1:14" x14ac:dyDescent="0.2">
      <c r="A871" s="19"/>
      <c r="B871" s="118" t="str">
        <f t="shared" ref="B871:G871" si="137">B674</f>
        <v>Parameters</v>
      </c>
      <c r="C871" s="118" t="str">
        <f t="shared" si="137"/>
        <v>Value</v>
      </c>
      <c r="D871" s="118" t="str">
        <f t="shared" si="137"/>
        <v>Unit</v>
      </c>
      <c r="E871" s="118" t="str">
        <f t="shared" si="137"/>
        <v>Min</v>
      </c>
      <c r="F871" s="118" t="str">
        <f t="shared" si="137"/>
        <v>Max</v>
      </c>
      <c r="G871" s="118" t="str">
        <f t="shared" si="137"/>
        <v>Description</v>
      </c>
      <c r="H871" s="118" t="s">
        <v>112</v>
      </c>
      <c r="I871" s="119"/>
      <c r="J871" s="119"/>
      <c r="K871" s="119"/>
      <c r="L871" s="119"/>
      <c r="M871" s="119"/>
      <c r="N871" s="19"/>
    </row>
    <row r="872" spans="1:14" x14ac:dyDescent="0.2">
      <c r="A872" s="19"/>
      <c r="B872" s="120" t="str">
        <f>'info, structure, parameters'!A189</f>
        <v>TC_electricity_recovery_energy</v>
      </c>
      <c r="C872" s="120">
        <f>'info, structure, parameters'!B189</f>
        <v>0.26</v>
      </c>
      <c r="D872" s="120" t="str">
        <f>'info, structure, parameters'!C189</f>
        <v>% of LHV</v>
      </c>
      <c r="E872" s="120">
        <f>'info, structure, parameters'!D189</f>
        <v>0.26</v>
      </c>
      <c r="F872" s="120">
        <f>'info, structure, parameters'!E189</f>
        <v>0.26</v>
      </c>
      <c r="G872" s="120" t="str">
        <f>'info, structure, parameters'!F189</f>
        <v>Amount of energy in the electricity recovered from the incineration</v>
      </c>
      <c r="H872" s="120">
        <f>'info, structure, parameters'!G189</f>
        <v>4</v>
      </c>
      <c r="I872" s="119"/>
      <c r="J872" s="119"/>
      <c r="K872" s="119"/>
      <c r="L872" s="119"/>
      <c r="M872" s="119"/>
      <c r="N872" s="19"/>
    </row>
    <row r="873" spans="1:14" x14ac:dyDescent="0.2">
      <c r="A873" s="19"/>
      <c r="B873" s="120" t="str">
        <f>'info, structure, parameters'!A190</f>
        <v>TC_heat_recovery_turbine_energy</v>
      </c>
      <c r="C873" s="120">
        <f>'info, structure, parameters'!B190</f>
        <v>0.62</v>
      </c>
      <c r="D873" s="120" t="str">
        <f>'info, structure, parameters'!C190</f>
        <v>% of LHV</v>
      </c>
      <c r="E873" s="120">
        <f>'info, structure, parameters'!D190</f>
        <v>0.62</v>
      </c>
      <c r="F873" s="120">
        <f>'info, structure, parameters'!E190</f>
        <v>0.62</v>
      </c>
      <c r="G873" s="120" t="str">
        <f>'info, structure, parameters'!F190</f>
        <v>Amount of energy in the heat recovered from the incineration</v>
      </c>
      <c r="H873" s="120">
        <f>'info, structure, parameters'!G190</f>
        <v>4</v>
      </c>
      <c r="I873" s="119"/>
      <c r="J873" s="119"/>
      <c r="K873" s="119"/>
      <c r="L873" s="119"/>
      <c r="M873" s="119"/>
      <c r="N873" s="19"/>
    </row>
    <row r="874" spans="1:14" x14ac:dyDescent="0.2">
      <c r="A874" s="19"/>
      <c r="B874" s="120" t="str">
        <f>'info, structure, parameters'!A191</f>
        <v>TC_heat_recovery_condensation_energy</v>
      </c>
      <c r="C874" s="120">
        <f>'info, structure, parameters'!B191</f>
        <v>0.12</v>
      </c>
      <c r="D874" s="120" t="str">
        <f>'info, structure, parameters'!C191</f>
        <v>% of LHV</v>
      </c>
      <c r="E874" s="120">
        <f>'info, structure, parameters'!D191</f>
        <v>0.12</v>
      </c>
      <c r="F874" s="120">
        <f>'info, structure, parameters'!E191</f>
        <v>0.12</v>
      </c>
      <c r="G874" s="120" t="str">
        <f>'info, structure, parameters'!F191</f>
        <v>Amount of energy recovered during flue gas condensation as a percentage of the lower heating value of the waste incincerated</v>
      </c>
      <c r="H874" s="120">
        <f>'info, structure, parameters'!G191</f>
        <v>4</v>
      </c>
      <c r="I874" s="119"/>
      <c r="J874" s="119"/>
      <c r="K874" s="119"/>
      <c r="L874" s="119"/>
      <c r="M874" s="119"/>
      <c r="N874" s="19"/>
    </row>
    <row r="875" spans="1:14" x14ac:dyDescent="0.2">
      <c r="A875" s="19"/>
      <c r="B875" s="120" t="str">
        <f>'info, structure, parameters'!A192</f>
        <v>TC_electricity_factor_CC</v>
      </c>
      <c r="C875" s="120">
        <f>'info, structure, parameters'!B192</f>
        <v>0.5</v>
      </c>
      <c r="D875" s="120" t="str">
        <f>'info, structure, parameters'!C192</f>
        <v>%</v>
      </c>
      <c r="E875" s="120">
        <f>'info, structure, parameters'!D192</f>
        <v>0.5</v>
      </c>
      <c r="F875" s="120">
        <f>'info, structure, parameters'!E192</f>
        <v>0.5</v>
      </c>
      <c r="G875" s="120" t="str">
        <f>'info, structure, parameters'!F192</f>
        <v>Conversion rate between amount of electricity recovered in incineration process with and without carbon capture</v>
      </c>
      <c r="H875" s="120">
        <f>'info, structure, parameters'!G192</f>
        <v>4</v>
      </c>
      <c r="I875" s="119"/>
      <c r="J875" s="119"/>
      <c r="K875" s="119"/>
      <c r="L875" s="119"/>
      <c r="M875" s="119"/>
      <c r="N875" s="19"/>
    </row>
    <row r="876" spans="1:14" x14ac:dyDescent="0.2">
      <c r="A876" s="19"/>
      <c r="B876" s="120" t="str">
        <f>'info, structure, parameters'!A193</f>
        <v>TC_ heat_factor_CC</v>
      </c>
      <c r="C876" s="120">
        <f>'info, structure, parameters'!B193</f>
        <v>1.2</v>
      </c>
      <c r="D876" s="120" t="str">
        <f>'info, structure, parameters'!C193</f>
        <v>%</v>
      </c>
      <c r="E876" s="120">
        <f>'info, structure, parameters'!D193</f>
        <v>1.2</v>
      </c>
      <c r="F876" s="120">
        <f>'info, structure, parameters'!E193</f>
        <v>1.2</v>
      </c>
      <c r="G876" s="120" t="str">
        <f>'info, structure, parameters'!F193</f>
        <v>Conversion rate between amount of heat recovered in incineration process with and without carbon capture</v>
      </c>
      <c r="H876" s="120">
        <f>'info, structure, parameters'!G193</f>
        <v>4</v>
      </c>
      <c r="I876" s="119"/>
      <c r="J876" s="119"/>
      <c r="K876" s="119"/>
      <c r="L876" s="119"/>
      <c r="M876" s="119"/>
      <c r="N876" s="19"/>
    </row>
    <row r="877" spans="1:14" x14ac:dyDescent="0.2">
      <c r="A877" s="19"/>
      <c r="B877" s="120" t="str">
        <f>'info, structure, parameters'!A257</f>
        <v>INC_energy_incineration</v>
      </c>
      <c r="C877" s="120">
        <f>'info, structure, parameters'!B257</f>
        <v>0.36000000000000004</v>
      </c>
      <c r="D877" s="120" t="str">
        <f>'info, structure, parameters'!C257</f>
        <v>MJ/kg MPW</v>
      </c>
      <c r="E877" s="120">
        <f>'info, structure, parameters'!D257</f>
        <v>0.36000000000000004</v>
      </c>
      <c r="F877" s="120">
        <f>'info, structure, parameters'!E257</f>
        <v>0.36000000000000004</v>
      </c>
      <c r="G877" s="120" t="str">
        <f>'info, structure, parameters'!F257</f>
        <v xml:space="preserve">Amount of energy inputted during incineration of 1 kg of plastic (without carbon capture) </v>
      </c>
      <c r="H877" s="120">
        <f>'info, structure, parameters'!G257</f>
        <v>4</v>
      </c>
      <c r="I877" s="119"/>
      <c r="J877" s="119"/>
      <c r="K877" s="119"/>
      <c r="L877" s="119"/>
      <c r="M877" s="119"/>
      <c r="N877" s="19"/>
    </row>
    <row r="878" spans="1:14" x14ac:dyDescent="0.2">
      <c r="A878" s="19"/>
      <c r="B878" s="120" t="str">
        <f>'info, structure, parameters'!A258</f>
        <v>CC_energy_incineration</v>
      </c>
      <c r="C878" s="120">
        <f>'info, structure, parameters'!B258</f>
        <v>0.59399999999999997</v>
      </c>
      <c r="D878" s="120" t="str">
        <f>'info, structure, parameters'!C258</f>
        <v>MJ/kg MPW</v>
      </c>
      <c r="E878" s="120">
        <f>'info, structure, parameters'!D258</f>
        <v>0.59399999999999997</v>
      </c>
      <c r="F878" s="120">
        <f>'info, structure, parameters'!E258</f>
        <v>0.59399999999999997</v>
      </c>
      <c r="G878" s="120" t="str">
        <f>'info, structure, parameters'!F258</f>
        <v xml:space="preserve">Amount of energy inputted during incineration of 1 kg of plastic (with carbon capture) </v>
      </c>
      <c r="H878" s="120">
        <f>'info, structure, parameters'!G258</f>
        <v>4</v>
      </c>
      <c r="I878" s="119"/>
      <c r="J878" s="119"/>
      <c r="K878" s="119"/>
      <c r="L878" s="119"/>
      <c r="M878" s="119"/>
      <c r="N878" s="19"/>
    </row>
    <row r="879" spans="1:14" ht="25" customHeight="1" x14ac:dyDescent="0.2">
      <c r="A879" s="19"/>
      <c r="B879" s="214" t="s">
        <v>135</v>
      </c>
      <c r="C879" s="214"/>
      <c r="D879" s="214"/>
      <c r="E879" s="214"/>
      <c r="F879" s="214"/>
      <c r="G879" s="214"/>
      <c r="H879" s="29"/>
      <c r="I879" s="29"/>
      <c r="J879" s="29"/>
      <c r="K879" s="29"/>
      <c r="L879" s="29"/>
      <c r="M879" s="29"/>
      <c r="N879" s="19"/>
    </row>
    <row r="880" spans="1:14" x14ac:dyDescent="0.2">
      <c r="A880" s="19"/>
      <c r="B880" s="2" t="s">
        <v>21</v>
      </c>
      <c r="C880" s="2" t="s">
        <v>20</v>
      </c>
      <c r="D880" s="2" t="s">
        <v>99</v>
      </c>
      <c r="E880" s="2" t="s">
        <v>3</v>
      </c>
      <c r="F880" s="2" t="s">
        <v>4</v>
      </c>
      <c r="G880" s="2" t="s">
        <v>43</v>
      </c>
      <c r="H880" s="2"/>
      <c r="I880" s="2"/>
      <c r="J880" s="2"/>
      <c r="K880" s="2"/>
      <c r="L880" s="2"/>
      <c r="M880" s="2"/>
      <c r="N880" s="19"/>
    </row>
    <row r="881" spans="1:14" x14ac:dyDescent="0.2">
      <c r="A881" s="19"/>
      <c r="B881" s="221" t="s">
        <v>14</v>
      </c>
      <c r="C881" s="6" t="str">
        <f t="shared" ref="C881:C900" si="138">C682</f>
        <v>PET</v>
      </c>
      <c r="D881" t="s">
        <v>2258</v>
      </c>
      <c r="E881" s="33">
        <f>$C$675*E292</f>
        <v>1757.8313174204998</v>
      </c>
      <c r="F881" t="s">
        <v>121</v>
      </c>
      <c r="G881" t="str">
        <f>$B$675&amp;" * "&amp;D292</f>
        <v>bottle_energy * bottle_PET_INC_tot_mass_pyrolysis</v>
      </c>
      <c r="H881" s="66"/>
      <c r="I881" s="6"/>
      <c r="N881" s="19"/>
    </row>
    <row r="882" spans="1:14" x14ac:dyDescent="0.2">
      <c r="A882" s="19"/>
      <c r="B882" s="221"/>
      <c r="C882" s="6" t="str">
        <f t="shared" si="138"/>
        <v>PE</v>
      </c>
      <c r="D882" t="s">
        <v>2259</v>
      </c>
      <c r="E882" s="33">
        <f>$C$675*E293</f>
        <v>599.29715331049044</v>
      </c>
      <c r="F882" t="str">
        <f>F881</f>
        <v>MJ</v>
      </c>
      <c r="G882" t="str">
        <f>$B$675&amp;" * "&amp;D293</f>
        <v>bottle_energy * bottle_PE_INC_tot_mass_pyrolysis</v>
      </c>
      <c r="H882" s="66"/>
      <c r="I882" s="6"/>
      <c r="N882" s="19"/>
    </row>
    <row r="883" spans="1:14" x14ac:dyDescent="0.2">
      <c r="A883" s="19"/>
      <c r="B883" s="221"/>
      <c r="C883" s="6" t="str">
        <f t="shared" si="138"/>
        <v>PP</v>
      </c>
      <c r="D883" t="s">
        <v>2260</v>
      </c>
      <c r="E883" s="33">
        <f>$C$675*E294</f>
        <v>0</v>
      </c>
      <c r="F883" t="str">
        <f t="shared" ref="F883:F900" si="139">F882</f>
        <v>MJ</v>
      </c>
      <c r="G883" t="str">
        <f>$B$675&amp;" * "&amp;D294</f>
        <v>bottle_energy * bottle_PP_INC_tot_mass_pyrolysis</v>
      </c>
      <c r="H883" s="66"/>
      <c r="I883" s="6"/>
      <c r="N883" s="19"/>
    </row>
    <row r="884" spans="1:14" x14ac:dyDescent="0.2">
      <c r="A884" s="19"/>
      <c r="B884" s="221"/>
      <c r="C884" s="6" t="str">
        <f t="shared" si="138"/>
        <v>PS</v>
      </c>
      <c r="D884" t="s">
        <v>2261</v>
      </c>
      <c r="E884" s="33">
        <f>$C$675*E295</f>
        <v>0</v>
      </c>
      <c r="F884" t="str">
        <f t="shared" si="139"/>
        <v>MJ</v>
      </c>
      <c r="G884" t="str">
        <f>$B$675&amp;" * "&amp;D295</f>
        <v>bottle_energy * bottle_PS_INC_tot_mass_pyrolysis</v>
      </c>
      <c r="H884" s="66"/>
      <c r="I884" s="6"/>
      <c r="N884" s="19"/>
    </row>
    <row r="885" spans="1:14" x14ac:dyDescent="0.2">
      <c r="A885" s="19"/>
      <c r="B885" s="221"/>
      <c r="C885" s="6" t="str">
        <f t="shared" si="138"/>
        <v>Other</v>
      </c>
      <c r="D885" t="s">
        <v>2262</v>
      </c>
      <c r="E885" s="33">
        <f>$C$675*E296</f>
        <v>0</v>
      </c>
      <c r="F885" t="str">
        <f t="shared" si="139"/>
        <v>MJ</v>
      </c>
      <c r="G885" t="str">
        <f>$B$675&amp;" * "&amp;D296</f>
        <v>bottle_energy * bottle_oth_INC_tot_mass_pyrolysis</v>
      </c>
      <c r="H885" s="66"/>
      <c r="I885" s="6"/>
      <c r="N885" s="19"/>
    </row>
    <row r="886" spans="1:14" x14ac:dyDescent="0.2">
      <c r="A886" s="19"/>
      <c r="B886" s="221" t="s">
        <v>15</v>
      </c>
      <c r="C886" s="6" t="str">
        <f t="shared" si="138"/>
        <v>PET</v>
      </c>
      <c r="D886" t="s">
        <v>2263</v>
      </c>
      <c r="E886" s="33">
        <f>$C$676*E297</f>
        <v>338.5172779824</v>
      </c>
      <c r="F886" t="str">
        <f t="shared" si="139"/>
        <v>MJ</v>
      </c>
      <c r="G886" t="str">
        <f>$B$676&amp;" * "&amp;D297</f>
        <v>rigid_energy * rigid_PET_INC_tot_mass_pyrolysis</v>
      </c>
      <c r="H886" s="66"/>
      <c r="I886" s="6"/>
      <c r="N886" s="19"/>
    </row>
    <row r="887" spans="1:14" x14ac:dyDescent="0.2">
      <c r="A887" s="19"/>
      <c r="B887" s="221"/>
      <c r="C887" s="6" t="str">
        <f t="shared" si="138"/>
        <v>PE</v>
      </c>
      <c r="D887" t="s">
        <v>2264</v>
      </c>
      <c r="E887" s="33">
        <f>$C$676*E298</f>
        <v>284.40479659555166</v>
      </c>
      <c r="F887" t="str">
        <f t="shared" si="139"/>
        <v>MJ</v>
      </c>
      <c r="G887" t="str">
        <f>$B$676&amp;" * "&amp;D298</f>
        <v>rigid_energy * rigid_PE_INC_tot_mass_pyrolysis</v>
      </c>
      <c r="H887" s="66"/>
      <c r="I887" s="6"/>
      <c r="N887" s="19"/>
    </row>
    <row r="888" spans="1:14" x14ac:dyDescent="0.2">
      <c r="A888" s="19"/>
      <c r="B888" s="221"/>
      <c r="C888" s="6" t="str">
        <f t="shared" si="138"/>
        <v>PP</v>
      </c>
      <c r="D888" t="s">
        <v>2265</v>
      </c>
      <c r="E888" s="33">
        <f>$C$676*E299</f>
        <v>770.46244561913102</v>
      </c>
      <c r="F888" t="str">
        <f t="shared" si="139"/>
        <v>MJ</v>
      </c>
      <c r="G888" t="str">
        <f>$B$676&amp;" * "&amp;D299</f>
        <v>rigid_energy * rigid_PP_INC_tot_mass_pyrolysis</v>
      </c>
      <c r="H888" s="66"/>
      <c r="I888" s="6"/>
      <c r="N888" s="19"/>
    </row>
    <row r="889" spans="1:14" x14ac:dyDescent="0.2">
      <c r="A889" s="19"/>
      <c r="B889" s="221"/>
      <c r="C889" s="6" t="str">
        <f t="shared" si="138"/>
        <v>PS</v>
      </c>
      <c r="D889" t="s">
        <v>2266</v>
      </c>
      <c r="E889" s="33">
        <f>$C$676*E300</f>
        <v>88.675467476524886</v>
      </c>
      <c r="F889" t="str">
        <f t="shared" si="139"/>
        <v>MJ</v>
      </c>
      <c r="G889" t="str">
        <f>$B$676&amp;" * "&amp;D300</f>
        <v>rigid_energy * rigid_PS_INC_tot_mass_pyrolysis</v>
      </c>
      <c r="H889" s="66"/>
      <c r="I889" s="6"/>
      <c r="N889" s="19"/>
    </row>
    <row r="890" spans="1:14" x14ac:dyDescent="0.2">
      <c r="A890" s="19"/>
      <c r="B890" s="221"/>
      <c r="C890" s="6" t="str">
        <f t="shared" si="138"/>
        <v>Other</v>
      </c>
      <c r="D890" t="s">
        <v>2267</v>
      </c>
      <c r="E890" s="33">
        <f>$C$676*E301</f>
        <v>443.37733738262432</v>
      </c>
      <c r="F890" t="str">
        <f t="shared" si="139"/>
        <v>MJ</v>
      </c>
      <c r="G890" t="str">
        <f>$B$676&amp;" * "&amp;D301</f>
        <v>rigid_energy * rigid_Oth_INC_tot_mass_pyrolysis</v>
      </c>
      <c r="H890" s="66"/>
      <c r="I890" s="6"/>
      <c r="N890" s="19"/>
    </row>
    <row r="891" spans="1:14" x14ac:dyDescent="0.2">
      <c r="A891" s="19"/>
      <c r="B891" s="221" t="s">
        <v>42</v>
      </c>
      <c r="C891" s="6" t="str">
        <f t="shared" si="138"/>
        <v>PET</v>
      </c>
      <c r="D891" t="s">
        <v>2268</v>
      </c>
      <c r="E891" s="33">
        <f>$C$677*E302</f>
        <v>0</v>
      </c>
      <c r="F891" t="str">
        <f t="shared" si="139"/>
        <v>MJ</v>
      </c>
      <c r="G891" t="str">
        <f>$B$677&amp;" * "&amp;D302</f>
        <v>soft_energy * soft_PET_INC_tot_mass_pyrolysis</v>
      </c>
      <c r="H891" s="66"/>
      <c r="I891" s="6"/>
      <c r="N891" s="19"/>
    </row>
    <row r="892" spans="1:14" x14ac:dyDescent="0.2">
      <c r="A892" s="19"/>
      <c r="B892" s="221"/>
      <c r="C892" s="6" t="str">
        <f t="shared" si="138"/>
        <v>PE</v>
      </c>
      <c r="D892" t="s">
        <v>2269</v>
      </c>
      <c r="E892" s="33">
        <f>$C$677*E303</f>
        <v>3488.7875880654151</v>
      </c>
      <c r="F892" t="str">
        <f t="shared" si="139"/>
        <v>MJ</v>
      </c>
      <c r="G892" t="str">
        <f>$B$677&amp;" * "&amp;D303</f>
        <v>soft_energy * soft_PE_INC_tot_mass_pyrolysis</v>
      </c>
      <c r="H892" s="66"/>
      <c r="I892" s="6"/>
      <c r="N892" s="19"/>
    </row>
    <row r="893" spans="1:14" x14ac:dyDescent="0.2">
      <c r="A893" s="19"/>
      <c r="B893" s="221"/>
      <c r="C893" s="6" t="str">
        <f t="shared" si="138"/>
        <v>PP</v>
      </c>
      <c r="D893" t="s">
        <v>2270</v>
      </c>
      <c r="E893" s="33">
        <f>$C$677*E304</f>
        <v>0</v>
      </c>
      <c r="F893" t="str">
        <f t="shared" si="139"/>
        <v>MJ</v>
      </c>
      <c r="G893" t="str">
        <f>$B$677&amp;" * "&amp;D304</f>
        <v>soft_energy * soft_PP_INC_tot_mass_pyrolysis</v>
      </c>
      <c r="H893" s="66"/>
      <c r="I893" s="6"/>
      <c r="N893" s="19"/>
    </row>
    <row r="894" spans="1:14" x14ac:dyDescent="0.2">
      <c r="A894" s="19"/>
      <c r="B894" s="221"/>
      <c r="C894" s="6" t="str">
        <f t="shared" si="138"/>
        <v>PS</v>
      </c>
      <c r="D894" t="s">
        <v>2271</v>
      </c>
      <c r="E894" s="33">
        <f>$C$677*E305</f>
        <v>0</v>
      </c>
      <c r="F894" t="str">
        <f t="shared" si="139"/>
        <v>MJ</v>
      </c>
      <c r="G894" t="str">
        <f>$B$677&amp;" * "&amp;D305</f>
        <v>soft_energy * soft_PS_INC_tot_mass_pyrolysis</v>
      </c>
      <c r="H894" s="66"/>
      <c r="I894" s="6"/>
      <c r="N894" s="19"/>
    </row>
    <row r="895" spans="1:14" x14ac:dyDescent="0.2">
      <c r="A895" s="19"/>
      <c r="B895" s="221"/>
      <c r="C895" s="6" t="str">
        <f t="shared" si="138"/>
        <v>Other</v>
      </c>
      <c r="D895" t="s">
        <v>2272</v>
      </c>
      <c r="E895" s="33">
        <f>$C$677*E306</f>
        <v>842.54667459876839</v>
      </c>
      <c r="F895" t="str">
        <f t="shared" si="139"/>
        <v>MJ</v>
      </c>
      <c r="G895" t="str">
        <f>$B$677&amp;" * "&amp;D306</f>
        <v>soft_energy * soft_Oth_INC_tot_mass_pyrolysis</v>
      </c>
      <c r="H895" s="66"/>
      <c r="I895" s="6"/>
      <c r="N895" s="19"/>
    </row>
    <row r="896" spans="1:14" x14ac:dyDescent="0.2">
      <c r="A896" s="19"/>
      <c r="B896" s="221" t="s">
        <v>19</v>
      </c>
      <c r="C896" s="6" t="str">
        <f t="shared" si="138"/>
        <v>PET</v>
      </c>
      <c r="D896" t="s">
        <v>2273</v>
      </c>
      <c r="E896" s="33">
        <f>$C$678*E307</f>
        <v>0</v>
      </c>
      <c r="F896" t="str">
        <f t="shared" si="139"/>
        <v>MJ</v>
      </c>
      <c r="G896" t="str">
        <f>$B$678&amp;" * "&amp;D307</f>
        <v>nonrec_energy * other_PET_INC_tot_mass_pyrolysis</v>
      </c>
      <c r="H896" s="66"/>
      <c r="I896" s="6"/>
      <c r="N896" s="19"/>
    </row>
    <row r="897" spans="1:14" x14ac:dyDescent="0.2">
      <c r="A897" s="19"/>
      <c r="B897" s="221"/>
      <c r="C897" s="6" t="str">
        <f t="shared" si="138"/>
        <v>PE</v>
      </c>
      <c r="D897" t="s">
        <v>2274</v>
      </c>
      <c r="E897" s="33">
        <f>$C$678*E308</f>
        <v>0</v>
      </c>
      <c r="F897" t="str">
        <f t="shared" si="139"/>
        <v>MJ</v>
      </c>
      <c r="G897" t="str">
        <f>$B$678&amp;" * "&amp;D308</f>
        <v>nonrec_energy * other_PE_INC_tot_mass_pyrolysis</v>
      </c>
      <c r="H897" s="66"/>
      <c r="I897" s="6"/>
      <c r="N897" s="19"/>
    </row>
    <row r="898" spans="1:14" x14ac:dyDescent="0.2">
      <c r="A898" s="19"/>
      <c r="B898" s="221"/>
      <c r="C898" s="6" t="str">
        <f t="shared" si="138"/>
        <v>PP</v>
      </c>
      <c r="D898" t="s">
        <v>2275</v>
      </c>
      <c r="E898" s="33">
        <f>$C$678*E309</f>
        <v>0</v>
      </c>
      <c r="F898" t="str">
        <f t="shared" si="139"/>
        <v>MJ</v>
      </c>
      <c r="G898" t="str">
        <f>$B$678&amp;" * "&amp;D309</f>
        <v>nonrec_energy * other_PP_INC_tot_mass_pyrolysis</v>
      </c>
      <c r="H898" s="66"/>
      <c r="I898" s="6"/>
      <c r="N898" s="19"/>
    </row>
    <row r="899" spans="1:14" x14ac:dyDescent="0.2">
      <c r="A899" s="19"/>
      <c r="B899" s="221"/>
      <c r="C899" s="6" t="str">
        <f t="shared" si="138"/>
        <v>PS</v>
      </c>
      <c r="D899" t="s">
        <v>2276</v>
      </c>
      <c r="E899" s="33">
        <f>$C$678*E310</f>
        <v>0</v>
      </c>
      <c r="F899" t="str">
        <f t="shared" si="139"/>
        <v>MJ</v>
      </c>
      <c r="G899" t="str">
        <f>$B$678&amp;" * "&amp;D310</f>
        <v>nonrec_energy * other_PS_INC_tot_mass_pyrolysis</v>
      </c>
      <c r="H899" s="66"/>
      <c r="I899" s="6"/>
      <c r="N899" s="19"/>
    </row>
    <row r="900" spans="1:14" x14ac:dyDescent="0.2">
      <c r="A900" s="19"/>
      <c r="B900" s="221"/>
      <c r="C900" s="6" t="str">
        <f t="shared" si="138"/>
        <v>Other</v>
      </c>
      <c r="D900" t="s">
        <v>2277</v>
      </c>
      <c r="E900" s="33">
        <f>$C$678*E311</f>
        <v>2969.083999999998</v>
      </c>
      <c r="F900" t="str">
        <f t="shared" si="139"/>
        <v>MJ</v>
      </c>
      <c r="G900" t="str">
        <f>$B$678&amp;" * "&amp;D311</f>
        <v>nonrec_energy * other_Oth_INC_tot_mass_pyrolysis</v>
      </c>
      <c r="H900" s="66"/>
      <c r="I900" s="6"/>
      <c r="N900" s="19"/>
    </row>
    <row r="901" spans="1:14" x14ac:dyDescent="0.2">
      <c r="A901" s="19"/>
      <c r="B901" s="72" t="s">
        <v>202</v>
      </c>
      <c r="C901" s="6"/>
      <c r="E901" s="33">
        <f>SUM(E881:E900)</f>
        <v>11582.984058451402</v>
      </c>
      <c r="F901" t="s">
        <v>121</v>
      </c>
      <c r="H901" s="66"/>
      <c r="I901" s="6"/>
      <c r="N901" s="19"/>
    </row>
    <row r="902" spans="1:14" ht="25" customHeight="1" x14ac:dyDescent="0.2">
      <c r="A902" s="19"/>
      <c r="B902" s="214" t="s">
        <v>127</v>
      </c>
      <c r="C902" s="214"/>
      <c r="D902" s="214"/>
      <c r="E902" s="214"/>
      <c r="F902" s="214"/>
      <c r="G902" s="214"/>
      <c r="H902" s="214"/>
      <c r="I902" s="214"/>
      <c r="J902" s="214"/>
      <c r="K902" s="214"/>
      <c r="L902" s="214"/>
      <c r="M902" s="214"/>
      <c r="N902" s="19"/>
    </row>
    <row r="903" spans="1:14" ht="25" customHeight="1" x14ac:dyDescent="0.2">
      <c r="A903" s="19"/>
      <c r="B903" s="214" t="s">
        <v>201</v>
      </c>
      <c r="C903" s="214"/>
      <c r="D903" s="214"/>
      <c r="E903" s="214"/>
      <c r="F903" s="214"/>
      <c r="G903" s="223"/>
      <c r="H903" s="214" t="s">
        <v>197</v>
      </c>
      <c r="I903" s="214"/>
      <c r="J903" s="214"/>
      <c r="K903" s="214"/>
      <c r="L903" s="214"/>
      <c r="M903" s="214"/>
      <c r="N903" s="19"/>
    </row>
    <row r="904" spans="1:14" x14ac:dyDescent="0.2">
      <c r="A904" s="19"/>
      <c r="B904" s="2" t="s">
        <v>49</v>
      </c>
      <c r="C904" s="2" t="s">
        <v>3</v>
      </c>
      <c r="D904" s="2" t="s">
        <v>4</v>
      </c>
      <c r="E904" s="2" t="s">
        <v>7</v>
      </c>
      <c r="F904" s="10"/>
      <c r="G904" s="83"/>
      <c r="H904" s="2" t="s">
        <v>49</v>
      </c>
      <c r="I904" s="2" t="s">
        <v>3</v>
      </c>
      <c r="J904" s="2" t="s">
        <v>4</v>
      </c>
      <c r="K904" s="2" t="s">
        <v>7</v>
      </c>
      <c r="L904" s="10"/>
      <c r="M904" s="10"/>
      <c r="N904" s="19"/>
    </row>
    <row r="905" spans="1:14" x14ac:dyDescent="0.2">
      <c r="A905" s="19"/>
      <c r="B905" t="s">
        <v>3085</v>
      </c>
      <c r="C905">
        <f>C877*SUM(E292:E311)</f>
        <v>126.40659624115197</v>
      </c>
      <c r="D905" t="s">
        <v>121</v>
      </c>
      <c r="E905" t="s">
        <v>3079</v>
      </c>
      <c r="F905" s="168"/>
      <c r="G905" s="169"/>
      <c r="L905" s="168"/>
      <c r="M905" s="168"/>
      <c r="N905" s="19"/>
    </row>
    <row r="906" spans="1:14" x14ac:dyDescent="0.2">
      <c r="A906" s="19"/>
      <c r="B906" t="s">
        <v>2278</v>
      </c>
      <c r="C906">
        <f>(C872*SUM(E881:E885))</f>
        <v>612.85340239005745</v>
      </c>
      <c r="D906" t="s">
        <v>121</v>
      </c>
      <c r="E906" t="s">
        <v>192</v>
      </c>
      <c r="G906" s="32"/>
      <c r="H906" t="s">
        <v>2283</v>
      </c>
      <c r="I906" s="33">
        <f>(C873+C874)*SUM(E881:E885)</f>
        <v>1744.2750683409326</v>
      </c>
      <c r="J906" t="s">
        <v>121</v>
      </c>
      <c r="K906" t="s">
        <v>187</v>
      </c>
      <c r="N906" s="19"/>
    </row>
    <row r="907" spans="1:14" x14ac:dyDescent="0.2">
      <c r="A907" s="19"/>
      <c r="B907" t="s">
        <v>2279</v>
      </c>
      <c r="C907">
        <f>C872*SUM(E886:E890)</f>
        <v>500.61370451462022</v>
      </c>
      <c r="D907" t="str">
        <f>D906</f>
        <v>MJ</v>
      </c>
      <c r="E907" t="s">
        <v>193</v>
      </c>
      <c r="G907" s="32"/>
      <c r="H907" t="s">
        <v>2284</v>
      </c>
      <c r="I907" s="33">
        <f>(C873+C874)*SUM(E886:E890)</f>
        <v>1424.8236205416115</v>
      </c>
      <c r="J907" t="str">
        <f>J906</f>
        <v>MJ</v>
      </c>
      <c r="K907" t="s">
        <v>188</v>
      </c>
      <c r="N907" s="19"/>
    </row>
    <row r="908" spans="1:14" x14ac:dyDescent="0.2">
      <c r="A908" s="19"/>
      <c r="B908" t="s">
        <v>2280</v>
      </c>
      <c r="C908">
        <f>C872*SUM(E891:E895)</f>
        <v>1126.1469082926876</v>
      </c>
      <c r="D908" t="str">
        <f t="shared" ref="D908" si="140">D907</f>
        <v>MJ</v>
      </c>
      <c r="E908" t="s">
        <v>194</v>
      </c>
      <c r="G908" s="32"/>
      <c r="H908" t="s">
        <v>2285</v>
      </c>
      <c r="I908" s="33">
        <f>(C873+C874)*SUM(E891:E895)</f>
        <v>3205.1873543714955</v>
      </c>
      <c r="J908" t="str">
        <f t="shared" ref="J908" si="141">J907</f>
        <v>MJ</v>
      </c>
      <c r="K908" t="s">
        <v>189</v>
      </c>
      <c r="N908" s="19"/>
    </row>
    <row r="909" spans="1:14" ht="16" thickBot="1" x14ac:dyDescent="0.25">
      <c r="A909" s="19"/>
      <c r="B909" s="8" t="s">
        <v>2281</v>
      </c>
      <c r="C909" s="8">
        <f>C872*SUM(E896:E900)</f>
        <v>771.96183999999948</v>
      </c>
      <c r="D909" s="8" t="str">
        <f>D908</f>
        <v>MJ</v>
      </c>
      <c r="E909" s="8" t="s">
        <v>195</v>
      </c>
      <c r="F909" s="8"/>
      <c r="G909" s="87"/>
      <c r="H909" s="8" t="s">
        <v>2286</v>
      </c>
      <c r="I909" s="34">
        <f>(C873+C874)*SUM(E896:E900)</f>
        <v>2197.1221599999985</v>
      </c>
      <c r="J909" s="8" t="str">
        <f>J908</f>
        <v>MJ</v>
      </c>
      <c r="K909" s="8" t="s">
        <v>190</v>
      </c>
      <c r="L909" s="8"/>
      <c r="M909" s="8"/>
      <c r="N909" s="19"/>
    </row>
    <row r="910" spans="1:14" ht="16" thickTop="1" x14ac:dyDescent="0.2">
      <c r="A910" s="19"/>
      <c r="B910" s="44" t="s">
        <v>2282</v>
      </c>
      <c r="C910" s="44">
        <f>SUM(C906:C909)</f>
        <v>3011.5758551973645</v>
      </c>
      <c r="D910" s="44" t="str">
        <f>D908</f>
        <v>MJ</v>
      </c>
      <c r="E910" s="44" t="s">
        <v>196</v>
      </c>
      <c r="F910" s="44"/>
      <c r="G910" s="61"/>
      <c r="H910" t="s">
        <v>2287</v>
      </c>
      <c r="I910" s="33">
        <f>SUM(I906:I909)</f>
        <v>8571.4082032540391</v>
      </c>
      <c r="J910" t="str">
        <f>J908</f>
        <v>MJ</v>
      </c>
      <c r="K910" t="s">
        <v>191</v>
      </c>
      <c r="N910" s="19"/>
    </row>
    <row r="911" spans="1:14" ht="25" customHeight="1" x14ac:dyDescent="0.2">
      <c r="A911" s="19"/>
      <c r="B911" s="214" t="s">
        <v>2918</v>
      </c>
      <c r="C911" s="214"/>
      <c r="D911" s="214"/>
      <c r="E911" s="214"/>
      <c r="F911" s="214"/>
      <c r="G911" s="214"/>
      <c r="H911" s="214"/>
      <c r="I911" s="214"/>
      <c r="J911" s="214"/>
      <c r="K911" s="214"/>
      <c r="L911" s="214"/>
      <c r="M911" s="214"/>
      <c r="N911" s="19"/>
    </row>
    <row r="912" spans="1:14" ht="25" customHeight="1" x14ac:dyDescent="0.2">
      <c r="A912" s="19"/>
      <c r="B912" s="214" t="s">
        <v>201</v>
      </c>
      <c r="C912" s="214"/>
      <c r="D912" s="214"/>
      <c r="E912" s="214"/>
      <c r="F912" s="214"/>
      <c r="G912" s="223"/>
      <c r="H912" s="214" t="s">
        <v>197</v>
      </c>
      <c r="I912" s="214"/>
      <c r="J912" s="214"/>
      <c r="K912" s="214"/>
      <c r="L912" s="214"/>
      <c r="M912" s="214"/>
      <c r="N912" s="19"/>
    </row>
    <row r="913" spans="1:14" x14ac:dyDescent="0.2">
      <c r="A913" s="19"/>
      <c r="B913" s="2" t="s">
        <v>49</v>
      </c>
      <c r="C913" s="2" t="s">
        <v>3</v>
      </c>
      <c r="D913" s="2" t="s">
        <v>4</v>
      </c>
      <c r="E913" s="2" t="s">
        <v>7</v>
      </c>
      <c r="F913" s="10"/>
      <c r="G913" s="83"/>
      <c r="H913" s="2" t="s">
        <v>49</v>
      </c>
      <c r="I913" s="2" t="s">
        <v>3</v>
      </c>
      <c r="J913" s="2" t="s">
        <v>4</v>
      </c>
      <c r="K913" s="2" t="s">
        <v>7</v>
      </c>
      <c r="L913" s="10"/>
      <c r="M913" s="10"/>
      <c r="N913" s="19"/>
    </row>
    <row r="914" spans="1:14" x14ac:dyDescent="0.2">
      <c r="A914" s="19"/>
      <c r="B914" t="s">
        <v>3086</v>
      </c>
      <c r="C914">
        <f>C878*SUM(E292:E311)</f>
        <v>208.57088379790073</v>
      </c>
      <c r="D914" t="s">
        <v>121</v>
      </c>
      <c r="E914" t="s">
        <v>3080</v>
      </c>
      <c r="F914" s="168"/>
      <c r="G914" s="169"/>
      <c r="L914" s="168"/>
      <c r="M914" s="168"/>
      <c r="N914" s="19"/>
    </row>
    <row r="915" spans="1:14" x14ac:dyDescent="0.2">
      <c r="A915" s="19"/>
      <c r="B915" t="s">
        <v>3060</v>
      </c>
      <c r="C915">
        <f>(C872*C875)*SUM(E881:E885)</f>
        <v>306.42670119502873</v>
      </c>
      <c r="D915" t="s">
        <v>121</v>
      </c>
      <c r="E915" t="s">
        <v>192</v>
      </c>
      <c r="G915" s="32"/>
      <c r="H915" t="s">
        <v>3055</v>
      </c>
      <c r="I915" s="33">
        <f>(C873*C876+C874)*SUM(E881:E885)</f>
        <v>2036.5589987115754</v>
      </c>
      <c r="J915" t="s">
        <v>121</v>
      </c>
      <c r="K915" t="s">
        <v>187</v>
      </c>
      <c r="N915" s="19"/>
    </row>
    <row r="916" spans="1:14" x14ac:dyDescent="0.2">
      <c r="A916" s="19"/>
      <c r="B916" t="s">
        <v>3061</v>
      </c>
      <c r="C916">
        <f>(C872*C875)*SUM(E886:E890)</f>
        <v>250.30685225731011</v>
      </c>
      <c r="D916" t="str">
        <f>D915</f>
        <v>MJ</v>
      </c>
      <c r="E916" t="s">
        <v>193</v>
      </c>
      <c r="G916" s="32"/>
      <c r="H916" t="s">
        <v>3056</v>
      </c>
      <c r="I916" s="33">
        <f>(C873*C876+C874)*SUM(E886:E890)</f>
        <v>1663.5778488485842</v>
      </c>
      <c r="J916" t="str">
        <f>J915</f>
        <v>MJ</v>
      </c>
      <c r="K916" t="s">
        <v>188</v>
      </c>
      <c r="N916" s="19"/>
    </row>
    <row r="917" spans="1:14" x14ac:dyDescent="0.2">
      <c r="A917" s="19"/>
      <c r="B917" t="s">
        <v>3062</v>
      </c>
      <c r="C917">
        <f>(C872*C875)*SUM(E891:E895)</f>
        <v>563.07345414634381</v>
      </c>
      <c r="D917" t="str">
        <f t="shared" ref="D917" si="142">D916</f>
        <v>MJ</v>
      </c>
      <c r="E917" t="s">
        <v>194</v>
      </c>
      <c r="G917" s="32"/>
      <c r="H917" t="s">
        <v>3057</v>
      </c>
      <c r="I917" s="33">
        <f>(C873*C876+C874)*SUM(E891:E895)</f>
        <v>3742.2728029418545</v>
      </c>
      <c r="J917" t="str">
        <f t="shared" ref="J917" si="143">J916</f>
        <v>MJ</v>
      </c>
      <c r="K917" t="s">
        <v>189</v>
      </c>
      <c r="N917" s="19"/>
    </row>
    <row r="918" spans="1:14" ht="16" thickBot="1" x14ac:dyDescent="0.25">
      <c r="A918" s="19"/>
      <c r="B918" s="8" t="s">
        <v>3063</v>
      </c>
      <c r="C918" s="8">
        <f>(C872*C875)*SUM(E896:E900)</f>
        <v>385.98091999999974</v>
      </c>
      <c r="D918" s="8" t="str">
        <f>D917</f>
        <v>MJ</v>
      </c>
      <c r="E918" s="8" t="s">
        <v>195</v>
      </c>
      <c r="F918" s="8"/>
      <c r="G918" s="87"/>
      <c r="H918" s="8" t="s">
        <v>3058</v>
      </c>
      <c r="I918" s="34">
        <f>(C873*C876+C874)*SUM(E896:E900)</f>
        <v>2565.2885759999981</v>
      </c>
      <c r="J918" s="8" t="str">
        <f>J917</f>
        <v>MJ</v>
      </c>
      <c r="K918" s="8" t="s">
        <v>190</v>
      </c>
      <c r="L918" s="8"/>
      <c r="M918" s="8"/>
      <c r="N918" s="19"/>
    </row>
    <row r="919" spans="1:14" ht="16" thickTop="1" x14ac:dyDescent="0.2">
      <c r="A919" s="19"/>
      <c r="B919" s="44" t="s">
        <v>3064</v>
      </c>
      <c r="C919" s="44">
        <f>SUM(C915:C918)</f>
        <v>1505.7879275986822</v>
      </c>
      <c r="D919" s="44" t="str">
        <f>D917</f>
        <v>MJ</v>
      </c>
      <c r="E919" s="44" t="s">
        <v>196</v>
      </c>
      <c r="F919" s="44"/>
      <c r="G919" s="61"/>
      <c r="H919" s="44" t="s">
        <v>3059</v>
      </c>
      <c r="I919" s="62">
        <f>SUM(I915:I918)</f>
        <v>10007.698226502012</v>
      </c>
      <c r="J919" s="44" t="str">
        <f>J917</f>
        <v>MJ</v>
      </c>
      <c r="K919" s="44" t="s">
        <v>191</v>
      </c>
      <c r="L919" s="44"/>
      <c r="M919" s="44"/>
      <c r="N919" s="19"/>
    </row>
    <row r="920" spans="1:14" x14ac:dyDescent="0.2">
      <c r="A920" s="19"/>
      <c r="B920" s="19"/>
      <c r="C920" s="19"/>
      <c r="D920" s="19"/>
      <c r="E920" s="19"/>
      <c r="F920" s="19"/>
      <c r="G920" s="19"/>
      <c r="H920" s="19"/>
      <c r="I920" s="19"/>
      <c r="J920" s="19"/>
      <c r="K920" s="19"/>
      <c r="L920" s="19"/>
      <c r="M920" s="19"/>
      <c r="N920" s="19"/>
    </row>
    <row r="921" spans="1:14" x14ac:dyDescent="0.2">
      <c r="A921" s="19"/>
      <c r="B921" s="19"/>
      <c r="C921" s="19"/>
      <c r="D921" s="19"/>
      <c r="E921" s="74"/>
      <c r="F921" s="19"/>
      <c r="G921" s="19"/>
      <c r="H921" s="19"/>
      <c r="I921" s="19"/>
      <c r="J921" s="19"/>
      <c r="K921" s="19"/>
      <c r="L921" s="19"/>
      <c r="M921" s="19"/>
      <c r="N921" s="19"/>
    </row>
    <row r="922" spans="1:14" x14ac:dyDescent="0.2">
      <c r="A922" s="19"/>
      <c r="B922" s="19"/>
      <c r="C922" s="19"/>
      <c r="D922" s="19"/>
      <c r="E922" s="19"/>
      <c r="F922" s="19"/>
      <c r="G922" s="19"/>
      <c r="H922" s="19"/>
      <c r="I922" s="19"/>
      <c r="J922" s="19"/>
      <c r="K922" s="19"/>
      <c r="L922" s="19"/>
      <c r="M922" s="19"/>
      <c r="N922" s="19"/>
    </row>
    <row r="923" spans="1:14" x14ac:dyDescent="0.2">
      <c r="A923" s="99"/>
      <c r="B923" s="79"/>
      <c r="C923" s="79"/>
      <c r="D923" s="79"/>
      <c r="E923" s="79"/>
      <c r="F923" s="79"/>
      <c r="G923" s="79"/>
      <c r="H923" s="79"/>
      <c r="I923" s="79"/>
      <c r="J923" s="79"/>
      <c r="K923" s="79"/>
      <c r="L923" s="79"/>
      <c r="M923" s="79"/>
      <c r="N923" s="99"/>
    </row>
  </sheetData>
  <mergeCells count="296">
    <mergeCell ref="H697:H701"/>
    <mergeCell ref="B679:M679"/>
    <mergeCell ref="B680:G680"/>
    <mergeCell ref="H680:M680"/>
    <mergeCell ref="B682:B686"/>
    <mergeCell ref="H682:H686"/>
    <mergeCell ref="B500:B504"/>
    <mergeCell ref="B495:B499"/>
    <mergeCell ref="H500:H504"/>
    <mergeCell ref="H495:H499"/>
    <mergeCell ref="B619:B623"/>
    <mergeCell ref="H619:H623"/>
    <mergeCell ref="B578:M578"/>
    <mergeCell ref="B579:G579"/>
    <mergeCell ref="B636:M636"/>
    <mergeCell ref="B637:G637"/>
    <mergeCell ref="H637:M637"/>
    <mergeCell ref="B609:B613"/>
    <mergeCell ref="H609:H613"/>
    <mergeCell ref="B581:B585"/>
    <mergeCell ref="B586:B590"/>
    <mergeCell ref="B591:B595"/>
    <mergeCell ref="B614:B618"/>
    <mergeCell ref="B596:B600"/>
    <mergeCell ref="B762:M762"/>
    <mergeCell ref="B702:M702"/>
    <mergeCell ref="B743:M743"/>
    <mergeCell ref="B744:M744"/>
    <mergeCell ref="B745:G745"/>
    <mergeCell ref="H745:M745"/>
    <mergeCell ref="B714:M714"/>
    <mergeCell ref="B715:M715"/>
    <mergeCell ref="B716:G716"/>
    <mergeCell ref="H604:H608"/>
    <mergeCell ref="B372:M372"/>
    <mergeCell ref="B350:G350"/>
    <mergeCell ref="H350:M350"/>
    <mergeCell ref="B352:B356"/>
    <mergeCell ref="H352:H356"/>
    <mergeCell ref="B357:B361"/>
    <mergeCell ref="H357:H361"/>
    <mergeCell ref="H614:H618"/>
    <mergeCell ref="B400:B404"/>
    <mergeCell ref="B395:B399"/>
    <mergeCell ref="H395:H399"/>
    <mergeCell ref="H400:H404"/>
    <mergeCell ref="B466:B470"/>
    <mergeCell ref="B471:B475"/>
    <mergeCell ref="B476:B480"/>
    <mergeCell ref="H476:H480"/>
    <mergeCell ref="H471:H475"/>
    <mergeCell ref="H466:H470"/>
    <mergeCell ref="B568:M568"/>
    <mergeCell ref="B551:G551"/>
    <mergeCell ref="H551:M551"/>
    <mergeCell ref="B553:B557"/>
    <mergeCell ref="H553:H557"/>
    <mergeCell ref="B325:B329"/>
    <mergeCell ref="H325:H329"/>
    <mergeCell ref="B362:B366"/>
    <mergeCell ref="H362:H366"/>
    <mergeCell ref="B367:B371"/>
    <mergeCell ref="H367:H371"/>
    <mergeCell ref="H912:M912"/>
    <mergeCell ref="B896:B900"/>
    <mergeCell ref="B902:M902"/>
    <mergeCell ref="B903:G903"/>
    <mergeCell ref="H903:M903"/>
    <mergeCell ref="B911:M911"/>
    <mergeCell ref="B870:M870"/>
    <mergeCell ref="B879:G879"/>
    <mergeCell ref="B881:B885"/>
    <mergeCell ref="B886:B890"/>
    <mergeCell ref="B891:B895"/>
    <mergeCell ref="B912:G912"/>
    <mergeCell ref="B785:B789"/>
    <mergeCell ref="B780:B784"/>
    <mergeCell ref="B601:M601"/>
    <mergeCell ref="B602:G602"/>
    <mergeCell ref="H602:M602"/>
    <mergeCell ref="B604:B608"/>
    <mergeCell ref="B312:M312"/>
    <mergeCell ref="B313:G313"/>
    <mergeCell ref="H313:M313"/>
    <mergeCell ref="B529:B533"/>
    <mergeCell ref="H529:H533"/>
    <mergeCell ref="B534:B538"/>
    <mergeCell ref="H534:H538"/>
    <mergeCell ref="B563:B567"/>
    <mergeCell ref="H563:H567"/>
    <mergeCell ref="B491:M491"/>
    <mergeCell ref="B492:M492"/>
    <mergeCell ref="B493:G493"/>
    <mergeCell ref="B462:M462"/>
    <mergeCell ref="B463:M463"/>
    <mergeCell ref="B464:G464"/>
    <mergeCell ref="H464:M464"/>
    <mergeCell ref="B451:M451"/>
    <mergeCell ref="H493:M493"/>
    <mergeCell ref="B446:B450"/>
    <mergeCell ref="H446:H450"/>
    <mergeCell ref="B315:B319"/>
    <mergeCell ref="H315:H319"/>
    <mergeCell ref="B320:B324"/>
    <mergeCell ref="H320:H324"/>
    <mergeCell ref="B330:B334"/>
    <mergeCell ref="H330:H334"/>
    <mergeCell ref="B335:M335"/>
    <mergeCell ref="B346:M346"/>
    <mergeCell ref="B558:B562"/>
    <mergeCell ref="H558:H562"/>
    <mergeCell ref="B505:B509"/>
    <mergeCell ref="H505:H509"/>
    <mergeCell ref="B539:M539"/>
    <mergeCell ref="B549:M549"/>
    <mergeCell ref="B550:M550"/>
    <mergeCell ref="B524:B528"/>
    <mergeCell ref="H524:H528"/>
    <mergeCell ref="B510:M510"/>
    <mergeCell ref="B520:M520"/>
    <mergeCell ref="B521:M521"/>
    <mergeCell ref="B522:G522"/>
    <mergeCell ref="H522:M522"/>
    <mergeCell ref="B481:M481"/>
    <mergeCell ref="B386:M386"/>
    <mergeCell ref="B859:M859"/>
    <mergeCell ref="B280:M280"/>
    <mergeCell ref="B290:G290"/>
    <mergeCell ref="B292:B296"/>
    <mergeCell ref="B297:B301"/>
    <mergeCell ref="B270:M270"/>
    <mergeCell ref="B654:B658"/>
    <mergeCell ref="H654:H658"/>
    <mergeCell ref="B659:M659"/>
    <mergeCell ref="B639:B643"/>
    <mergeCell ref="H639:H643"/>
    <mergeCell ref="B644:B648"/>
    <mergeCell ref="H644:H648"/>
    <mergeCell ref="B649:B653"/>
    <mergeCell ref="H649:H653"/>
    <mergeCell ref="B624:M624"/>
    <mergeCell ref="B772:M772"/>
    <mergeCell ref="B777:M777"/>
    <mergeCell ref="B778:G778"/>
    <mergeCell ref="H778:M778"/>
    <mergeCell ref="B790:B794"/>
    <mergeCell ref="H790:H794"/>
    <mergeCell ref="H785:H789"/>
    <mergeCell ref="H780:H784"/>
    <mergeCell ref="B849:B853"/>
    <mergeCell ref="H849:H853"/>
    <mergeCell ref="B854:B858"/>
    <mergeCell ref="H854:H858"/>
    <mergeCell ref="B838:M838"/>
    <mergeCell ref="B841:M841"/>
    <mergeCell ref="B842:G842"/>
    <mergeCell ref="H842:M842"/>
    <mergeCell ref="B844:B848"/>
    <mergeCell ref="H844:H848"/>
    <mergeCell ref="B823:B827"/>
    <mergeCell ref="H823:H827"/>
    <mergeCell ref="B828:M828"/>
    <mergeCell ref="B811:G811"/>
    <mergeCell ref="H811:M811"/>
    <mergeCell ref="B813:B817"/>
    <mergeCell ref="H813:H817"/>
    <mergeCell ref="B818:B822"/>
    <mergeCell ref="H818:H822"/>
    <mergeCell ref="B795:M795"/>
    <mergeCell ref="B809:M809"/>
    <mergeCell ref="B810:M810"/>
    <mergeCell ref="B635:M635"/>
    <mergeCell ref="H716:M716"/>
    <mergeCell ref="B733:M733"/>
    <mergeCell ref="H757:H761"/>
    <mergeCell ref="H752:H756"/>
    <mergeCell ref="H747:H751"/>
    <mergeCell ref="B747:B751"/>
    <mergeCell ref="B757:B761"/>
    <mergeCell ref="B752:B756"/>
    <mergeCell ref="H728:H732"/>
    <mergeCell ref="H723:H727"/>
    <mergeCell ref="H718:H722"/>
    <mergeCell ref="B728:B732"/>
    <mergeCell ref="B723:B727"/>
    <mergeCell ref="B718:B722"/>
    <mergeCell ref="B671:M671"/>
    <mergeCell ref="B687:B691"/>
    <mergeCell ref="H687:H691"/>
    <mergeCell ref="B692:B696"/>
    <mergeCell ref="H692:H696"/>
    <mergeCell ref="B697:B701"/>
    <mergeCell ref="B260:B264"/>
    <mergeCell ref="H260:H264"/>
    <mergeCell ref="B302:B306"/>
    <mergeCell ref="B441:B445"/>
    <mergeCell ref="B436:B440"/>
    <mergeCell ref="B431:B435"/>
    <mergeCell ref="B170:M170"/>
    <mergeCell ref="B207:M207"/>
    <mergeCell ref="B229:B233"/>
    <mergeCell ref="H229:H233"/>
    <mergeCell ref="B307:B311"/>
    <mergeCell ref="B265:B269"/>
    <mergeCell ref="H265:H269"/>
    <mergeCell ref="B252:M252"/>
    <mergeCell ref="B253:G253"/>
    <mergeCell ref="H253:M253"/>
    <mergeCell ref="B255:B259"/>
    <mergeCell ref="B427:M427"/>
    <mergeCell ref="B428:M428"/>
    <mergeCell ref="B429:G429"/>
    <mergeCell ref="H429:M429"/>
    <mergeCell ref="B349:M349"/>
    <mergeCell ref="B221:M221"/>
    <mergeCell ref="B190:G190"/>
    <mergeCell ref="B673:M673"/>
    <mergeCell ref="B66:M66"/>
    <mergeCell ref="B410:B414"/>
    <mergeCell ref="H410:H414"/>
    <mergeCell ref="B69:B73"/>
    <mergeCell ref="H69:H73"/>
    <mergeCell ref="B415:M415"/>
    <mergeCell ref="B392:M392"/>
    <mergeCell ref="B393:G393"/>
    <mergeCell ref="H393:M393"/>
    <mergeCell ref="B134:M134"/>
    <mergeCell ref="B79:B83"/>
    <mergeCell ref="H79:H83"/>
    <mergeCell ref="B67:G67"/>
    <mergeCell ref="H124:H128"/>
    <mergeCell ref="H119:H123"/>
    <mergeCell ref="B405:B409"/>
    <mergeCell ref="H405:H409"/>
    <mergeCell ref="H441:H445"/>
    <mergeCell ref="H436:H440"/>
    <mergeCell ref="H431:H435"/>
    <mergeCell ref="B384:M384"/>
    <mergeCell ref="B239:M239"/>
    <mergeCell ref="B124:B128"/>
    <mergeCell ref="B119:B123"/>
    <mergeCell ref="H114:H118"/>
    <mergeCell ref="B114:B118"/>
    <mergeCell ref="B152:M152"/>
    <mergeCell ref="B153:G153"/>
    <mergeCell ref="H153:M153"/>
    <mergeCell ref="B155:B159"/>
    <mergeCell ref="H155:H159"/>
    <mergeCell ref="B129:B133"/>
    <mergeCell ref="H129:H133"/>
    <mergeCell ref="B160:B164"/>
    <mergeCell ref="H160:H164"/>
    <mergeCell ref="B165:B169"/>
    <mergeCell ref="H165:H169"/>
    <mergeCell ref="B145:M145"/>
    <mergeCell ref="B189:M189"/>
    <mergeCell ref="B180:M180"/>
    <mergeCell ref="B217:M217"/>
    <mergeCell ref="H255:H259"/>
    <mergeCell ref="B249:M249"/>
    <mergeCell ref="B234:B238"/>
    <mergeCell ref="H234:H238"/>
    <mergeCell ref="B222:G222"/>
    <mergeCell ref="H222:M222"/>
    <mergeCell ref="B224:B228"/>
    <mergeCell ref="H224:H228"/>
    <mergeCell ref="H190:M190"/>
    <mergeCell ref="B192:B196"/>
    <mergeCell ref="H192:H196"/>
    <mergeCell ref="B197:B201"/>
    <mergeCell ref="H197:H201"/>
    <mergeCell ref="B202:B206"/>
    <mergeCell ref="H202:H206"/>
    <mergeCell ref="B1:M1"/>
    <mergeCell ref="C3:M3"/>
    <mergeCell ref="C4:M4"/>
    <mergeCell ref="C5:M5"/>
    <mergeCell ref="C6:M6"/>
    <mergeCell ref="B100:M100"/>
    <mergeCell ref="B111:M111"/>
    <mergeCell ref="B112:G112"/>
    <mergeCell ref="H112:M112"/>
    <mergeCell ref="C7:M7"/>
    <mergeCell ref="H67:M67"/>
    <mergeCell ref="C8:M8"/>
    <mergeCell ref="C9:M9"/>
    <mergeCell ref="C10:M10"/>
    <mergeCell ref="B36:M36"/>
    <mergeCell ref="B84:B88"/>
    <mergeCell ref="H84:H88"/>
    <mergeCell ref="B89:M89"/>
    <mergeCell ref="B38:M38"/>
    <mergeCell ref="C11:M11"/>
    <mergeCell ref="C12:M12"/>
    <mergeCell ref="C13:M13"/>
    <mergeCell ref="C14:M14"/>
  </mergeCells>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47"/>
  <sheetViews>
    <sheetView zoomScale="81" zoomScaleNormal="85" workbookViewId="0">
      <selection activeCell="B1" sqref="B1:K1"/>
    </sheetView>
  </sheetViews>
  <sheetFormatPr baseColWidth="10" defaultColWidth="8.6640625" defaultRowHeight="15" x14ac:dyDescent="0.2"/>
  <cols>
    <col min="1" max="1" width="8.6640625" style="9"/>
    <col min="2" max="2" width="39.33203125" style="9" customWidth="1"/>
    <col min="3" max="3" width="29.1640625" style="9" bestFit="1" customWidth="1"/>
    <col min="4" max="4" width="21" style="9" customWidth="1"/>
    <col min="5" max="5" width="18.5" style="9" customWidth="1"/>
    <col min="6" max="6" width="11.5" style="9" customWidth="1"/>
    <col min="7" max="7" width="4.1640625" style="9" customWidth="1"/>
    <col min="8" max="16384" width="8.6640625" style="9"/>
  </cols>
  <sheetData>
    <row r="1" spans="2:11" ht="26" x14ac:dyDescent="0.3">
      <c r="B1" s="241" t="s">
        <v>2847</v>
      </c>
      <c r="C1" s="241"/>
      <c r="D1" s="241"/>
      <c r="E1" s="241"/>
      <c r="F1" s="241"/>
      <c r="G1" s="241"/>
      <c r="H1" s="241"/>
      <c r="I1" s="241"/>
      <c r="J1" s="241"/>
      <c r="K1" s="241"/>
    </row>
    <row r="3" spans="2:11" ht="16" thickBot="1" x14ac:dyDescent="0.25">
      <c r="B3" s="203"/>
      <c r="C3" s="204" t="s">
        <v>2874</v>
      </c>
      <c r="D3" s="205" t="s">
        <v>0</v>
      </c>
      <c r="E3" s="205" t="s">
        <v>184</v>
      </c>
      <c r="F3" s="206"/>
    </row>
    <row r="4" spans="2:11" ht="16" thickTop="1" x14ac:dyDescent="0.2">
      <c r="B4" s="4" t="s">
        <v>98</v>
      </c>
      <c r="C4" s="152" t="s">
        <v>3</v>
      </c>
      <c r="D4" s="159" t="s">
        <v>3</v>
      </c>
      <c r="E4" s="186" t="s">
        <v>3</v>
      </c>
      <c r="F4" s="157" t="s">
        <v>4</v>
      </c>
    </row>
    <row r="5" spans="2:11" x14ac:dyDescent="0.2">
      <c r="B5" s="32" t="s">
        <v>2848</v>
      </c>
      <c r="C5" s="151">
        <f>incineration!C32</f>
        <v>1000</v>
      </c>
      <c r="D5" s="160">
        <f>'mechanical recycling'!C39</f>
        <v>1000</v>
      </c>
      <c r="E5" s="187">
        <f>'chemical recycling'!C40</f>
        <v>1000</v>
      </c>
      <c r="F5" s="153" t="s">
        <v>10</v>
      </c>
    </row>
    <row r="6" spans="2:11" x14ac:dyDescent="0.2">
      <c r="B6" s="32" t="s">
        <v>2865</v>
      </c>
      <c r="C6" s="151">
        <f>SUM(incineration!C32)</f>
        <v>1000</v>
      </c>
      <c r="D6" s="160">
        <f>SUM('mechanical recycling'!E275:E294)</f>
        <v>451.55093200000005</v>
      </c>
      <c r="E6" s="187">
        <f>SUM('chemical recycling'!E292:E311)</f>
        <v>351.12943400319989</v>
      </c>
      <c r="F6" s="153" t="s">
        <v>10</v>
      </c>
    </row>
    <row r="7" spans="2:11" x14ac:dyDescent="0.2">
      <c r="B7" s="32" t="s">
        <v>2849</v>
      </c>
      <c r="C7" s="176">
        <f>(C5-C6)</f>
        <v>0</v>
      </c>
      <c r="D7" s="177">
        <f>'mechanical recycling'!C258</f>
        <v>548.4490679999999</v>
      </c>
      <c r="E7" s="188">
        <f>'chemical recycling'!C275</f>
        <v>573.32356915679998</v>
      </c>
      <c r="F7" s="153" t="s">
        <v>10</v>
      </c>
      <c r="H7" s="171"/>
    </row>
    <row r="8" spans="2:11" x14ac:dyDescent="0.2">
      <c r="B8" s="32" t="s">
        <v>2873</v>
      </c>
      <c r="C8" s="176">
        <f>(incineration!C87-incineration!C131-incineration!I131)</f>
        <v>1.1368683772161603E-13</v>
      </c>
      <c r="D8" s="177">
        <f>0</f>
        <v>0</v>
      </c>
      <c r="E8" s="188">
        <f>'chemical recycling'!I244</f>
        <v>7.4710418400000016</v>
      </c>
      <c r="F8" s="153" t="s">
        <v>10</v>
      </c>
      <c r="H8" s="171"/>
      <c r="I8" s="171"/>
    </row>
    <row r="9" spans="2:11" x14ac:dyDescent="0.2">
      <c r="B9" s="32" t="s">
        <v>2867</v>
      </c>
      <c r="C9" s="176">
        <f>0</f>
        <v>0</v>
      </c>
      <c r="D9" s="177">
        <f>0</f>
        <v>0</v>
      </c>
      <c r="E9" s="188">
        <f>'chemical recycling'!E213</f>
        <v>68.075955000000022</v>
      </c>
      <c r="F9" s="153" t="s">
        <v>10</v>
      </c>
      <c r="H9" s="171"/>
    </row>
    <row r="10" spans="2:11" x14ac:dyDescent="0.2">
      <c r="B10" s="32" t="s">
        <v>3102</v>
      </c>
      <c r="C10" s="176">
        <f>incineration!C168</f>
        <v>635.44712400000003</v>
      </c>
      <c r="D10" s="177">
        <f>'mechanical recycling'!C361</f>
        <v>285.15598890405118</v>
      </c>
      <c r="E10" s="188">
        <f>'chemical recycling'!C378</f>
        <v>219.84662262939588</v>
      </c>
      <c r="F10" s="153" t="s">
        <v>10</v>
      </c>
    </row>
    <row r="11" spans="2:11" x14ac:dyDescent="0.2">
      <c r="B11" s="32" t="s">
        <v>220</v>
      </c>
      <c r="C11" s="176">
        <f>incineration!C131</f>
        <v>40.863839999999996</v>
      </c>
      <c r="D11" s="177">
        <f>'mechanical recycling'!C324</f>
        <v>18.662590353083999</v>
      </c>
      <c r="E11" s="188">
        <f>'chemical recycling'!C341</f>
        <v>14.934137394655526</v>
      </c>
      <c r="F11" s="153" t="s">
        <v>2828</v>
      </c>
    </row>
    <row r="12" spans="2:11" x14ac:dyDescent="0.2">
      <c r="B12" s="32" t="s">
        <v>2866</v>
      </c>
      <c r="C12" s="176">
        <f>incineration!I168</f>
        <v>323.68903599999993</v>
      </c>
      <c r="D12" s="177">
        <f>'mechanical recycling'!I361</f>
        <v>147.7323527428648</v>
      </c>
      <c r="E12" s="188">
        <f>'chemical recycling'!I378</f>
        <v>116.34867397914849</v>
      </c>
      <c r="F12" s="153" t="s">
        <v>10</v>
      </c>
    </row>
    <row r="13" spans="2:11" x14ac:dyDescent="0.2">
      <c r="B13" s="32" t="s">
        <v>2850</v>
      </c>
      <c r="C13" s="154">
        <f>C7</f>
        <v>0</v>
      </c>
      <c r="D13" s="161">
        <f>'mechanical recycling'!C219/results!D5</f>
        <v>0.6462652000000001</v>
      </c>
      <c r="E13" s="189">
        <f>'chemical recycling'!C175/E5</f>
        <v>0.70136100000000012</v>
      </c>
      <c r="F13" s="153" t="s">
        <v>114</v>
      </c>
    </row>
    <row r="14" spans="2:11" x14ac:dyDescent="0.2">
      <c r="B14" s="32" t="s">
        <v>2868</v>
      </c>
      <c r="C14" s="154">
        <f>(C7+C10)/(C6)</f>
        <v>0.63544712400000003</v>
      </c>
      <c r="D14" s="154">
        <f>(D7+D10+D8)/(D5)</f>
        <v>0.83360505690405107</v>
      </c>
      <c r="E14" s="189">
        <f>(E7+E10+E8)/(E5)</f>
        <v>0.80064123362619577</v>
      </c>
      <c r="F14" s="153" t="s">
        <v>114</v>
      </c>
    </row>
    <row r="15" spans="2:11" x14ac:dyDescent="0.2">
      <c r="B15" s="61" t="s">
        <v>2869</v>
      </c>
      <c r="C15" s="155">
        <f>C13/C5</f>
        <v>0</v>
      </c>
      <c r="D15" s="162">
        <f>(D7+D8)/D5</f>
        <v>0.54844906799999993</v>
      </c>
      <c r="E15" s="190">
        <f>(E7+E8)/E5</f>
        <v>0.58079461099679996</v>
      </c>
      <c r="F15" s="156" t="s">
        <v>114</v>
      </c>
    </row>
    <row r="16" spans="2:11" x14ac:dyDescent="0.2">
      <c r="B16" s="4" t="s">
        <v>97</v>
      </c>
      <c r="C16" s="152" t="s">
        <v>3</v>
      </c>
      <c r="D16" s="159" t="s">
        <v>3</v>
      </c>
      <c r="E16" s="159" t="s">
        <v>3</v>
      </c>
      <c r="F16" s="157" t="s">
        <v>4</v>
      </c>
    </row>
    <row r="17" spans="2:7" x14ac:dyDescent="0.2">
      <c r="B17" s="32" t="s">
        <v>2851</v>
      </c>
      <c r="C17" s="158">
        <f>SUM(incineration!E187:E206)</f>
        <v>706.05235999999991</v>
      </c>
      <c r="D17" s="160">
        <f>'mechanical recycling'!C405</f>
        <v>706.05235999999991</v>
      </c>
      <c r="E17" s="160">
        <f>SUM('chemical recycling'!E395:E414)</f>
        <v>706.05235999999991</v>
      </c>
      <c r="F17" s="153" t="s">
        <v>96</v>
      </c>
    </row>
    <row r="18" spans="2:7" x14ac:dyDescent="0.2">
      <c r="B18" s="32" t="s">
        <v>2852</v>
      </c>
      <c r="C18" s="158">
        <f>C17</f>
        <v>706.05235999999991</v>
      </c>
      <c r="D18" s="160">
        <f>SUM('mechanical recycling'!E537:E556)</f>
        <v>316.83998767116799</v>
      </c>
      <c r="E18" s="160">
        <f>SUM('chemical recycling'!E581:E600)</f>
        <v>244.27402514377323</v>
      </c>
      <c r="F18" s="153" t="s">
        <v>96</v>
      </c>
    </row>
    <row r="19" spans="2:7" x14ac:dyDescent="0.2">
      <c r="B19" s="32" t="s">
        <v>2857</v>
      </c>
      <c r="C19" s="158">
        <f>incineration!C283</f>
        <v>635.44712400000003</v>
      </c>
      <c r="D19" s="160">
        <f>'mechanical recycling'!C621</f>
        <v>285.15598890405118</v>
      </c>
      <c r="E19" s="160">
        <f>'chemical recycling'!C665</f>
        <v>219.84662262939588</v>
      </c>
      <c r="F19" s="153" t="s">
        <v>96</v>
      </c>
    </row>
    <row r="20" spans="2:7" x14ac:dyDescent="0.2">
      <c r="B20" s="32" t="s">
        <v>2853</v>
      </c>
      <c r="C20" s="158">
        <f>incineration!I283</f>
        <v>70.605235999999991</v>
      </c>
      <c r="D20" s="160">
        <f>'mechanical recycling'!I621</f>
        <v>31.68399876711679</v>
      </c>
      <c r="E20" s="160">
        <f>'chemical recycling'!I665</f>
        <v>24.427402514377313</v>
      </c>
      <c r="F20" s="153" t="s">
        <v>96</v>
      </c>
    </row>
    <row r="21" spans="2:7" x14ac:dyDescent="0.2">
      <c r="B21" s="61" t="s">
        <v>2854</v>
      </c>
      <c r="C21" s="155">
        <f>C19/C17</f>
        <v>0.90000000000000013</v>
      </c>
      <c r="D21" s="162">
        <f>D19/D17</f>
        <v>0.40387371398921634</v>
      </c>
      <c r="E21" s="162">
        <f>E19/E17</f>
        <v>0.31137438961240199</v>
      </c>
      <c r="F21" s="156" t="s">
        <v>114</v>
      </c>
    </row>
    <row r="22" spans="2:7" x14ac:dyDescent="0.2">
      <c r="B22" s="4" t="s">
        <v>120</v>
      </c>
      <c r="C22" s="152" t="s">
        <v>3</v>
      </c>
      <c r="D22" s="159" t="s">
        <v>3</v>
      </c>
      <c r="E22" s="159" t="s">
        <v>3</v>
      </c>
      <c r="F22" s="157" t="s">
        <v>4</v>
      </c>
      <c r="G22" s="7"/>
    </row>
    <row r="23" spans="2:7" x14ac:dyDescent="0.2">
      <c r="B23" s="32" t="s">
        <v>3101</v>
      </c>
      <c r="C23" s="158">
        <f>incineration!C327</f>
        <v>33785.663599999993</v>
      </c>
      <c r="D23" s="160">
        <f>'mechanical recycling'!C665</f>
        <v>33785.663599999993</v>
      </c>
      <c r="E23" s="160">
        <f>'chemical recycling'!C708</f>
        <v>33785.663599999993</v>
      </c>
      <c r="F23" s="153" t="s">
        <v>121</v>
      </c>
      <c r="G23" s="7"/>
    </row>
    <row r="24" spans="2:7" x14ac:dyDescent="0.2">
      <c r="B24" s="32" t="s">
        <v>2863</v>
      </c>
      <c r="C24" s="158">
        <f>incineration!C327</f>
        <v>33785.663599999993</v>
      </c>
      <c r="D24" s="160">
        <f>'mechanical recycling'!E843</f>
        <v>12081.00022073424</v>
      </c>
      <c r="E24" s="160">
        <f>'chemical recycling'!E901</f>
        <v>11582.984058451402</v>
      </c>
      <c r="F24" s="153" t="s">
        <v>121</v>
      </c>
      <c r="G24" s="7"/>
    </row>
    <row r="25" spans="2:7" x14ac:dyDescent="0.2">
      <c r="B25" s="32" t="s">
        <v>2855</v>
      </c>
      <c r="C25" s="158">
        <f>incineration!C352</f>
        <v>593.99999999999989</v>
      </c>
      <c r="D25" s="160">
        <f>'mechanical recycling'!C760+'mechanical recycling'!C761+'mechanical recycling'!C762+'mechanical recycling'!C763+'mechanical recycling'!C800+'mechanical recycling'!C801+'mechanical recycling'!C802+'mechanical recycling'!C803+'mechanical recycling'!C856</f>
        <v>5335.1299224079994</v>
      </c>
      <c r="E25" s="160">
        <f>'chemical recycling'!C914+'chemical recycling'!C861+SUM('chemical recycling'!C797:C800)</f>
        <v>6131.0111765179017</v>
      </c>
      <c r="F25" s="153" t="s">
        <v>121</v>
      </c>
    </row>
    <row r="26" spans="2:7" x14ac:dyDescent="0.2">
      <c r="B26" s="61" t="s">
        <v>2856</v>
      </c>
      <c r="C26" s="184">
        <f>'mechanical recycling'!C861+incineration!I357</f>
        <v>30761.343379095451</v>
      </c>
      <c r="D26" s="185">
        <f>'mechanical recycling'!C861+'mechanical recycling'!I861</f>
        <v>12008.514219409835</v>
      </c>
      <c r="E26" s="185">
        <f>'chemical recycling'!C919+'chemical recycling'!I919</f>
        <v>11513.486154100694</v>
      </c>
      <c r="F26" s="156" t="s">
        <v>121</v>
      </c>
    </row>
    <row r="27" spans="2:7" x14ac:dyDescent="0.2">
      <c r="B27" s="193" t="s">
        <v>3103</v>
      </c>
      <c r="C27" s="195">
        <f>C26/C23</f>
        <v>0.9104851022992918</v>
      </c>
      <c r="D27" s="195">
        <f>D26/D23</f>
        <v>0.35543224373458326</v>
      </c>
      <c r="E27" s="195">
        <f>E26/E23</f>
        <v>0.34078022827708188</v>
      </c>
      <c r="F27" s="191" t="s">
        <v>114</v>
      </c>
    </row>
    <row r="28" spans="2:7" x14ac:dyDescent="0.2">
      <c r="B28" s="194" t="s">
        <v>3104</v>
      </c>
      <c r="C28" s="196">
        <f>(C26-C25)/C23</f>
        <v>0.89290368057460501</v>
      </c>
      <c r="D28" s="196">
        <f t="shared" ref="D28:E28" si="0">(D26-D25)/D23</f>
        <v>0.19752118460688864</v>
      </c>
      <c r="E28" s="196">
        <f t="shared" si="0"/>
        <v>0.15931239478696502</v>
      </c>
      <c r="F28" s="191" t="s">
        <v>114</v>
      </c>
    </row>
    <row r="29" spans="2:7" x14ac:dyDescent="0.2">
      <c r="B29" s="7"/>
      <c r="C29" s="7"/>
    </row>
    <row r="30" spans="2:7" x14ac:dyDescent="0.2">
      <c r="B30" s="23" t="s">
        <v>2870</v>
      </c>
      <c r="C30" s="23"/>
      <c r="D30" s="23"/>
      <c r="E30" s="23"/>
    </row>
    <row r="31" spans="2:7" ht="16" thickBot="1" x14ac:dyDescent="0.25">
      <c r="B31" s="200" t="s">
        <v>2872</v>
      </c>
      <c r="C31" s="201" t="s">
        <v>0</v>
      </c>
      <c r="D31" s="201" t="s">
        <v>184</v>
      </c>
      <c r="E31" s="202" t="s">
        <v>4</v>
      </c>
    </row>
    <row r="32" spans="2:7" ht="16" thickTop="1" x14ac:dyDescent="0.2">
      <c r="B32" s="172" t="s">
        <v>16</v>
      </c>
      <c r="C32" s="174">
        <f>('mechanical recycling'!E238+'mechanical recycling'!E243+'mechanical recycling'!E248)/('mechanical recycling'!E68+'mechanical recycling'!E73+'mechanical recycling'!E78+'mechanical recycling'!E83)</f>
        <v>0.62000999999999995</v>
      </c>
      <c r="D32" s="174">
        <f>('chemical recycling'!E255+'chemical recycling'!E260+'chemical recycling'!E265)/('chemical recycling'!E69+'chemical recycling'!E74+'chemical recycling'!E79+'chemical recycling'!E84)</f>
        <v>0.794682</v>
      </c>
      <c r="E32" s="9" t="s">
        <v>114</v>
      </c>
    </row>
    <row r="33" spans="2:8" x14ac:dyDescent="0.2">
      <c r="B33" s="172" t="s">
        <v>2871</v>
      </c>
      <c r="C33" s="174">
        <f>('mechanical recycling'!E239+'mechanical recycling'!E244+'mechanical recycling'!E249)/('mechanical recycling'!E69+'mechanical recycling'!E74+'mechanical recycling'!E79+'mechanical recycling'!E84)</f>
        <v>0.68428800000000001</v>
      </c>
      <c r="D33" s="174">
        <f>('chemical recycling'!E256+'chemical recycling'!E261+'chemical recycling'!E266)/('chemical recycling'!E70+'chemical recycling'!E75+'chemical recycling'!E80+'chemical recycling'!E85)</f>
        <v>0.57336240150000006</v>
      </c>
      <c r="E33" s="9" t="s">
        <v>114</v>
      </c>
    </row>
    <row r="34" spans="2:8" x14ac:dyDescent="0.2">
      <c r="B34" s="172" t="s">
        <v>17</v>
      </c>
      <c r="C34" s="174">
        <f>('mechanical recycling'!E240+'mechanical recycling'!E245+'mechanical recycling'!E250)/('mechanical recycling'!E70+'mechanical recycling'!E75+'mechanical recycling'!E80+'mechanical recycling'!E85)</f>
        <v>0.5292</v>
      </c>
      <c r="D34" s="174">
        <f>('chemical recycling'!E257+'chemical recycling'!E262+'chemical recycling'!E267)/('chemical recycling'!E71+'chemical recycling'!E76+'chemical recycling'!E81+'chemical recycling'!E86)</f>
        <v>0.59737648319999992</v>
      </c>
      <c r="E34" s="9" t="s">
        <v>114</v>
      </c>
    </row>
    <row r="35" spans="2:8" x14ac:dyDescent="0.2">
      <c r="B35" s="172" t="s">
        <v>18</v>
      </c>
      <c r="C35" s="174">
        <f>('mechanical recycling'!E241+'mechanical recycling'!E246+'mechanical recycling'!E251)/('mechanical recycling'!E71+'mechanical recycling'!E76+'mechanical recycling'!E81+'mechanical recycling'!E86)</f>
        <v>0.43929479999999999</v>
      </c>
      <c r="D35" s="174">
        <f>('chemical recycling'!E258+'chemical recycling'!E263+'chemical recycling'!E268)/('chemical recycling'!E72+'chemical recycling'!E77+'chemical recycling'!E82+'chemical recycling'!E87)</f>
        <v>0.54748821707999995</v>
      </c>
      <c r="E35" s="9" t="s">
        <v>114</v>
      </c>
    </row>
    <row r="36" spans="2:8" x14ac:dyDescent="0.2">
      <c r="B36" s="173" t="s">
        <v>19</v>
      </c>
      <c r="C36" s="175">
        <f>('mechanical recycling'!E242+'mechanical recycling'!E247+'mechanical recycling'!E252)/('mechanical recycling'!E72+'mechanical recycling'!E77+'mechanical recycling'!E82+'mechanical recycling'!E87)</f>
        <v>0.26357688000000001</v>
      </c>
      <c r="D36" s="175">
        <f>('chemical recycling'!E259+'chemical recycling'!E264+'chemical recycling'!E269)/('chemical recycling'!E73+'chemical recycling'!E78+'chemical recycling'!E83+'chemical recycling'!E88)</f>
        <v>0.32849293024800008</v>
      </c>
      <c r="E36" s="112" t="s">
        <v>114</v>
      </c>
    </row>
    <row r="47" spans="2:8" x14ac:dyDescent="0.2">
      <c r="H47" s="7"/>
    </row>
  </sheetData>
  <mergeCells count="1">
    <mergeCell ref="B1:K1"/>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8FD6D235349934298997EF5797FE3B8" ma:contentTypeVersion="4" ma:contentTypeDescription="Opret et nyt dokument." ma:contentTypeScope="" ma:versionID="df49367206ecc6876906828e52e3d596">
  <xsd:schema xmlns:xsd="http://www.w3.org/2001/XMLSchema" xmlns:xs="http://www.w3.org/2001/XMLSchema" xmlns:p="http://schemas.microsoft.com/office/2006/metadata/properties" xmlns:ns2="49b7d09f-6245-4faf-95c1-b59e4a3ffa3a" targetNamespace="http://schemas.microsoft.com/office/2006/metadata/properties" ma:root="true" ma:fieldsID="09e56761138554a49b046c6c53be740f" ns2:_="">
    <xsd:import namespace="49b7d09f-6245-4faf-95c1-b59e4a3ffa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b7d09f-6245-4faf-95c1-b59e4a3ffa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A6D81B-A74A-475D-A6B0-9CECDF84B426}">
  <ds:schemaRefs>
    <ds:schemaRef ds:uri="http://schemas.microsoft.com/sharepoint/v3/contenttype/forms"/>
  </ds:schemaRefs>
</ds:datastoreItem>
</file>

<file path=customXml/itemProps2.xml><?xml version="1.0" encoding="utf-8"?>
<ds:datastoreItem xmlns:ds="http://schemas.openxmlformats.org/officeDocument/2006/customXml" ds:itemID="{A257F51B-F9CD-41B7-8841-950182600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b7d09f-6245-4faf-95c1-b59e4a3ffa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55F0EC-3858-466A-9684-28E31FC1BCA7}">
  <ds:schemaRefs>
    <ds:schemaRef ds:uri="http://schemas.microsoft.com/office/2006/documentManagement/types"/>
    <ds:schemaRef ds:uri="http://purl.org/dc/dcmitype/"/>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49b7d09f-6245-4faf-95c1-b59e4a3ffa3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info, structure, parameters</vt:lpstr>
      <vt:lpstr>incineration</vt:lpstr>
      <vt:lpstr>mechanical recycling</vt:lpstr>
      <vt:lpstr>chemical recycling</vt: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Thomas Fruergaard Astrup</cp:lastModifiedBy>
  <dcterms:created xsi:type="dcterms:W3CDTF">2021-10-13T12:18:02Z</dcterms:created>
  <dcterms:modified xsi:type="dcterms:W3CDTF">2023-05-04T10:29:21Z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0x01010058FD6D235349934298997EF5797FE3B8</vt:lpwstr>
  </property>
</Properties>
</file>