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386433\Desktop\"/>
    </mc:Choice>
  </mc:AlternateContent>
  <xr:revisionPtr revIDLastSave="0" documentId="8_{F2231AC8-49D2-41ED-819A-132BB5D5DD9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Biomasse til RT" sheetId="1" r:id="rId1"/>
    <sheet name="Energikilde" sheetId="2" r:id="rId2"/>
    <sheet name="Energiformer, termisk" sheetId="4" r:id="rId3"/>
    <sheet name="Energigevinst" sheetId="6" r:id="rId4"/>
    <sheet name="Eksporttabel" sheetId="5" r:id="rId5"/>
    <sheet name="Kilde" sheetId="3" r:id="rId6"/>
    <sheet name="Tabel til bilag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6" i="1" l="1"/>
  <c r="D20" i="6" l="1"/>
  <c r="C20" i="6"/>
  <c r="B20" i="6"/>
  <c r="D19" i="6"/>
  <c r="C19" i="6"/>
  <c r="B19" i="6"/>
  <c r="D18" i="6"/>
  <c r="C18" i="6"/>
  <c r="B18" i="6"/>
  <c r="D17" i="6"/>
  <c r="C17" i="6"/>
  <c r="B17" i="6"/>
  <c r="D16" i="6"/>
  <c r="C16" i="6"/>
  <c r="B16" i="6"/>
  <c r="D15" i="6"/>
  <c r="C15" i="6"/>
  <c r="B15" i="6"/>
  <c r="D14" i="6"/>
  <c r="C14" i="6"/>
  <c r="B14" i="6"/>
  <c r="D13" i="6"/>
  <c r="C13" i="6"/>
  <c r="B13" i="6"/>
  <c r="D12" i="6"/>
  <c r="C12" i="6"/>
  <c r="B12" i="6"/>
  <c r="D11" i="6"/>
  <c r="C11" i="6"/>
  <c r="B11" i="6"/>
  <c r="D10" i="6"/>
  <c r="C10" i="6"/>
  <c r="B10" i="6"/>
  <c r="D9" i="6"/>
  <c r="C9" i="6"/>
  <c r="B9" i="6"/>
  <c r="D7" i="6"/>
  <c r="C7" i="6"/>
  <c r="C8" i="6" s="1"/>
  <c r="A20" i="6"/>
  <c r="A19" i="6"/>
  <c r="A18" i="6"/>
  <c r="A17" i="6"/>
  <c r="A16" i="6"/>
  <c r="A15" i="6"/>
  <c r="A14" i="6"/>
  <c r="A13" i="6"/>
  <c r="A12" i="6"/>
  <c r="A11" i="6"/>
  <c r="A10" i="6"/>
  <c r="A9" i="6"/>
  <c r="A7" i="6"/>
  <c r="A8" i="6" s="1"/>
  <c r="B7" i="6"/>
  <c r="A32" i="5" l="1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D44" i="5"/>
  <c r="C44" i="5"/>
  <c r="B44" i="5"/>
  <c r="A44" i="5"/>
  <c r="D43" i="5"/>
  <c r="C43" i="5"/>
  <c r="B43" i="5"/>
  <c r="A43" i="5"/>
  <c r="D42" i="5"/>
  <c r="C42" i="5"/>
  <c r="B42" i="5"/>
  <c r="A42" i="5"/>
  <c r="D41" i="5"/>
  <c r="C41" i="5"/>
  <c r="B41" i="5"/>
  <c r="A41" i="5"/>
  <c r="D40" i="5"/>
  <c r="C40" i="5"/>
  <c r="B40" i="5"/>
  <c r="A40" i="5"/>
  <c r="D39" i="5"/>
  <c r="C39" i="5"/>
  <c r="B39" i="5"/>
  <c r="A39" i="5"/>
  <c r="D38" i="5"/>
  <c r="C38" i="5"/>
  <c r="B38" i="5"/>
  <c r="A38" i="5"/>
  <c r="D37" i="5"/>
  <c r="C37" i="5"/>
  <c r="B37" i="5"/>
  <c r="A37" i="5"/>
  <c r="D36" i="5"/>
  <c r="C36" i="5"/>
  <c r="B36" i="5"/>
  <c r="A36" i="5"/>
  <c r="D35" i="5"/>
  <c r="C35" i="5"/>
  <c r="B35" i="5"/>
  <c r="A35" i="5"/>
  <c r="C34" i="5"/>
  <c r="B34" i="5"/>
  <c r="A34" i="5"/>
  <c r="C33" i="5"/>
  <c r="B33" i="5"/>
  <c r="A33" i="5"/>
  <c r="A5" i="5"/>
  <c r="B5" i="5"/>
  <c r="D5" i="5"/>
  <c r="A6" i="5"/>
  <c r="B6" i="5"/>
  <c r="D6" i="5"/>
  <c r="A7" i="5"/>
  <c r="B7" i="5"/>
  <c r="D7" i="5"/>
  <c r="A8" i="5"/>
  <c r="B8" i="5"/>
  <c r="D8" i="5"/>
  <c r="A9" i="5"/>
  <c r="B9" i="5"/>
  <c r="D9" i="5"/>
  <c r="A10" i="5"/>
  <c r="B10" i="5"/>
  <c r="D10" i="5"/>
  <c r="A11" i="5"/>
  <c r="B11" i="5"/>
  <c r="D11" i="5"/>
  <c r="A12" i="5"/>
  <c r="B12" i="5"/>
  <c r="D12" i="5"/>
  <c r="A13" i="5"/>
  <c r="B13" i="5"/>
  <c r="D13" i="5"/>
  <c r="A14" i="5"/>
  <c r="B14" i="5"/>
  <c r="D14" i="5"/>
  <c r="A15" i="5"/>
  <c r="B15" i="5"/>
  <c r="D15" i="5"/>
  <c r="D4" i="5"/>
  <c r="B4" i="5"/>
  <c r="A4" i="5"/>
  <c r="O37" i="1"/>
  <c r="P37" i="1"/>
  <c r="G37" i="1"/>
  <c r="F10" i="4"/>
  <c r="I10" i="4" s="1"/>
  <c r="F11" i="4"/>
  <c r="I11" i="4" s="1"/>
  <c r="F12" i="4"/>
  <c r="I12" i="4" s="1"/>
  <c r="D12" i="4" s="1"/>
  <c r="C12" i="4" s="1"/>
  <c r="C12" i="5" s="1"/>
  <c r="F13" i="4"/>
  <c r="I13" i="4" s="1"/>
  <c r="D13" i="4" s="1"/>
  <c r="C13" i="4" s="1"/>
  <c r="C13" i="5" s="1"/>
  <c r="F15" i="4"/>
  <c r="I15" i="4" s="1"/>
  <c r="D15" i="4" s="1"/>
  <c r="C15" i="4" s="1"/>
  <c r="C15" i="5" s="1"/>
  <c r="F14" i="4"/>
  <c r="I14" i="4" s="1"/>
  <c r="D14" i="4" s="1"/>
  <c r="C14" i="4" s="1"/>
  <c r="C14" i="5" s="1"/>
  <c r="C11" i="4"/>
  <c r="C11" i="5" s="1"/>
  <c r="C10" i="4"/>
  <c r="C10" i="5" s="1"/>
  <c r="C9" i="4"/>
  <c r="C9" i="5" s="1"/>
  <c r="C8" i="4"/>
  <c r="C8" i="5" s="1"/>
  <c r="C7" i="4"/>
  <c r="C7" i="5" s="1"/>
  <c r="C6" i="4"/>
  <c r="C6" i="5" s="1"/>
  <c r="C5" i="4"/>
  <c r="C5" i="5" s="1"/>
  <c r="C4" i="4"/>
  <c r="C4" i="5" s="1"/>
  <c r="E72" i="1"/>
  <c r="E71" i="1"/>
  <c r="E70" i="1"/>
  <c r="E69" i="1"/>
  <c r="E68" i="1"/>
  <c r="A68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5" i="1"/>
  <c r="O35" i="1"/>
  <c r="N35" i="1"/>
  <c r="P34" i="1"/>
  <c r="O34" i="1"/>
  <c r="N34" i="1"/>
  <c r="P33" i="1"/>
  <c r="O33" i="1"/>
  <c r="N33" i="1"/>
  <c r="P32" i="1"/>
  <c r="O32" i="1"/>
  <c r="N32" i="1"/>
  <c r="P31" i="1"/>
  <c r="O31" i="1"/>
  <c r="N31" i="1"/>
  <c r="P30" i="1"/>
  <c r="O30" i="1"/>
  <c r="N30" i="1"/>
  <c r="P29" i="1"/>
  <c r="O29" i="1"/>
  <c r="N29" i="1"/>
  <c r="P28" i="1"/>
  <c r="O28" i="1"/>
  <c r="N28" i="1"/>
  <c r="P27" i="1"/>
  <c r="O27" i="1"/>
  <c r="N27" i="1"/>
  <c r="P26" i="1"/>
  <c r="O26" i="1"/>
  <c r="N26" i="1"/>
  <c r="P25" i="1"/>
  <c r="O25" i="1"/>
  <c r="N25" i="1"/>
  <c r="P24" i="1"/>
  <c r="O24" i="1"/>
  <c r="N24" i="1"/>
  <c r="G26" i="1"/>
  <c r="G25" i="1"/>
  <c r="G24" i="1"/>
  <c r="O23" i="1"/>
  <c r="N23" i="1"/>
  <c r="L12" i="1"/>
  <c r="E62" i="1"/>
  <c r="E63" i="1"/>
  <c r="E64" i="1"/>
  <c r="E61" i="1"/>
  <c r="E60" i="1"/>
  <c r="L24" i="1" l="1"/>
  <c r="H24" i="1"/>
  <c r="E9" i="6"/>
  <c r="J26" i="1"/>
  <c r="K26" i="1" s="1"/>
  <c r="H26" i="1"/>
  <c r="I26" i="1" s="1"/>
  <c r="E11" i="6"/>
  <c r="I25" i="1"/>
  <c r="H25" i="1"/>
  <c r="E10" i="6"/>
  <c r="J37" i="1"/>
  <c r="H37" i="1"/>
  <c r="O44" i="1"/>
  <c r="L26" i="1"/>
  <c r="K37" i="1"/>
  <c r="N37" i="1"/>
  <c r="N44" i="1" s="1"/>
  <c r="I37" i="1"/>
  <c r="L37" i="1"/>
  <c r="M37" i="1" s="1"/>
  <c r="I24" i="1"/>
  <c r="J24" i="1"/>
  <c r="K24" i="1" s="1"/>
  <c r="J25" i="1"/>
  <c r="K25" i="1" s="1"/>
  <c r="L25" i="1"/>
  <c r="B44" i="1"/>
  <c r="P23" i="1"/>
  <c r="B9" i="1"/>
  <c r="S37" i="1" s="1"/>
  <c r="G42" i="1"/>
  <c r="H42" i="1" s="1"/>
  <c r="G41" i="1"/>
  <c r="H41" i="1" s="1"/>
  <c r="G40" i="1"/>
  <c r="H40" i="1" s="1"/>
  <c r="G39" i="1"/>
  <c r="H39" i="1" s="1"/>
  <c r="G38" i="1"/>
  <c r="H38" i="1" s="1"/>
  <c r="G35" i="1"/>
  <c r="G34" i="1"/>
  <c r="G33" i="1"/>
  <c r="G32" i="1"/>
  <c r="G31" i="1"/>
  <c r="G30" i="1"/>
  <c r="G29" i="1"/>
  <c r="G28" i="1"/>
  <c r="G27" i="1"/>
  <c r="G23" i="1"/>
  <c r="H27" i="1" l="1"/>
  <c r="E12" i="6"/>
  <c r="H35" i="1"/>
  <c r="E20" i="6"/>
  <c r="H28" i="1"/>
  <c r="E13" i="6"/>
  <c r="H29" i="1"/>
  <c r="I29" i="1" s="1"/>
  <c r="E14" i="6"/>
  <c r="M26" i="1"/>
  <c r="Q26" i="1" s="1"/>
  <c r="V26" i="1" s="1"/>
  <c r="F11" i="6"/>
  <c r="H30" i="1"/>
  <c r="E15" i="6"/>
  <c r="M25" i="1"/>
  <c r="Q25" i="1" s="1"/>
  <c r="V25" i="1" s="1"/>
  <c r="F10" i="6"/>
  <c r="H32" i="1"/>
  <c r="I32" i="1" s="1"/>
  <c r="E17" i="6"/>
  <c r="H31" i="1"/>
  <c r="E16" i="6"/>
  <c r="H33" i="1"/>
  <c r="E18" i="6"/>
  <c r="H34" i="1"/>
  <c r="E19" i="6"/>
  <c r="M24" i="1"/>
  <c r="F9" i="6"/>
  <c r="E7" i="6"/>
  <c r="H23" i="1"/>
  <c r="U37" i="1"/>
  <c r="R26" i="1"/>
  <c r="T37" i="1"/>
  <c r="X37" i="1" s="1"/>
  <c r="AC37" i="1" s="1"/>
  <c r="R37" i="1"/>
  <c r="Q37" i="1"/>
  <c r="V37" i="1" s="1"/>
  <c r="L31" i="1"/>
  <c r="J31" i="1"/>
  <c r="K31" i="1" s="1"/>
  <c r="S38" i="1"/>
  <c r="S41" i="1"/>
  <c r="S34" i="1"/>
  <c r="S29" i="1"/>
  <c r="S24" i="1"/>
  <c r="S39" i="1"/>
  <c r="S32" i="1"/>
  <c r="S27" i="1"/>
  <c r="S25" i="1"/>
  <c r="T25" i="1" s="1"/>
  <c r="X25" i="1" s="1"/>
  <c r="AC25" i="1" s="1"/>
  <c r="S42" i="1"/>
  <c r="S35" i="1"/>
  <c r="S33" i="1"/>
  <c r="S30" i="1"/>
  <c r="S28" i="1"/>
  <c r="S40" i="1"/>
  <c r="S31" i="1"/>
  <c r="S26" i="1"/>
  <c r="L32" i="1"/>
  <c r="J32" i="1"/>
  <c r="K32" i="1" s="1"/>
  <c r="J40" i="1"/>
  <c r="K40" i="1" s="1"/>
  <c r="L40" i="1"/>
  <c r="M40" i="1" s="1"/>
  <c r="J33" i="1"/>
  <c r="K33" i="1" s="1"/>
  <c r="L33" i="1"/>
  <c r="L41" i="1"/>
  <c r="M41" i="1" s="1"/>
  <c r="J41" i="1"/>
  <c r="K41" i="1" s="1"/>
  <c r="R25" i="1"/>
  <c r="L27" i="1"/>
  <c r="J27" i="1"/>
  <c r="K27" i="1" s="1"/>
  <c r="U27" i="1" s="1"/>
  <c r="L35" i="1"/>
  <c r="J35" i="1"/>
  <c r="K35" i="1" s="1"/>
  <c r="L39" i="1"/>
  <c r="M39" i="1" s="1"/>
  <c r="J39" i="1"/>
  <c r="K39" i="1" s="1"/>
  <c r="L28" i="1"/>
  <c r="J28" i="1"/>
  <c r="K28" i="1" s="1"/>
  <c r="L29" i="1"/>
  <c r="J29" i="1"/>
  <c r="K29" i="1" s="1"/>
  <c r="J30" i="1"/>
  <c r="K30" i="1" s="1"/>
  <c r="L30" i="1"/>
  <c r="L34" i="1"/>
  <c r="J34" i="1"/>
  <c r="K34" i="1" s="1"/>
  <c r="L38" i="1"/>
  <c r="M38" i="1" s="1"/>
  <c r="J38" i="1"/>
  <c r="K38" i="1" s="1"/>
  <c r="L42" i="1"/>
  <c r="M42" i="1" s="1"/>
  <c r="J42" i="1"/>
  <c r="K42" i="1" s="1"/>
  <c r="AA26" i="1"/>
  <c r="AA25" i="1"/>
  <c r="I33" i="1"/>
  <c r="I41" i="1"/>
  <c r="I30" i="1"/>
  <c r="I34" i="1"/>
  <c r="I38" i="1"/>
  <c r="I42" i="1"/>
  <c r="I27" i="1"/>
  <c r="I31" i="1"/>
  <c r="I35" i="1"/>
  <c r="I39" i="1"/>
  <c r="I28" i="1"/>
  <c r="I40" i="1"/>
  <c r="L23" i="1"/>
  <c r="J23" i="1"/>
  <c r="K23" i="1" s="1"/>
  <c r="S23" i="1"/>
  <c r="M30" i="1" l="1"/>
  <c r="F15" i="6"/>
  <c r="M35" i="1"/>
  <c r="T35" i="1" s="1"/>
  <c r="X35" i="1" s="1"/>
  <c r="AC35" i="1" s="1"/>
  <c r="F20" i="6"/>
  <c r="M34" i="1"/>
  <c r="T34" i="1" s="1"/>
  <c r="X34" i="1" s="1"/>
  <c r="AC34" i="1" s="1"/>
  <c r="F19" i="6"/>
  <c r="M33" i="1"/>
  <c r="Q33" i="1" s="1"/>
  <c r="V33" i="1" s="1"/>
  <c r="F18" i="6"/>
  <c r="M31" i="1"/>
  <c r="F16" i="6"/>
  <c r="M29" i="1"/>
  <c r="Q29" i="1" s="1"/>
  <c r="V29" i="1" s="1"/>
  <c r="F14" i="6"/>
  <c r="M27" i="1"/>
  <c r="F12" i="6"/>
  <c r="M32" i="1"/>
  <c r="T32" i="1" s="1"/>
  <c r="X32" i="1" s="1"/>
  <c r="AC32" i="1" s="1"/>
  <c r="F17" i="6"/>
  <c r="M28" i="1"/>
  <c r="F13" i="6"/>
  <c r="Q24" i="1"/>
  <c r="V24" i="1" s="1"/>
  <c r="AA24" i="1" s="1"/>
  <c r="R24" i="1"/>
  <c r="M23" i="1"/>
  <c r="Q23" i="1" s="1"/>
  <c r="F7" i="6"/>
  <c r="I23" i="1"/>
  <c r="I44" i="1" s="1"/>
  <c r="W37" i="1"/>
  <c r="Z37" i="1" s="1"/>
  <c r="U23" i="1"/>
  <c r="U29" i="1"/>
  <c r="U40" i="1"/>
  <c r="U39" i="1"/>
  <c r="U30" i="1"/>
  <c r="AA37" i="1"/>
  <c r="U42" i="1"/>
  <c r="U34" i="1"/>
  <c r="U28" i="1"/>
  <c r="U32" i="1"/>
  <c r="T39" i="1"/>
  <c r="X39" i="1" s="1"/>
  <c r="AC39" i="1" s="1"/>
  <c r="R39" i="1"/>
  <c r="W39" i="1" s="1"/>
  <c r="Q39" i="1"/>
  <c r="V39" i="1" s="1"/>
  <c r="R27" i="1"/>
  <c r="W27" i="1" s="1"/>
  <c r="Q27" i="1"/>
  <c r="V27" i="1" s="1"/>
  <c r="T27" i="1"/>
  <c r="X27" i="1" s="1"/>
  <c r="AC27" i="1" s="1"/>
  <c r="R42" i="1"/>
  <c r="T42" i="1"/>
  <c r="X42" i="1" s="1"/>
  <c r="AC42" i="1" s="1"/>
  <c r="Q42" i="1"/>
  <c r="V42" i="1" s="1"/>
  <c r="R34" i="1"/>
  <c r="Q34" i="1"/>
  <c r="V34" i="1" s="1"/>
  <c r="T29" i="1"/>
  <c r="X29" i="1" s="1"/>
  <c r="AC29" i="1" s="1"/>
  <c r="R29" i="1"/>
  <c r="T28" i="1"/>
  <c r="X28" i="1" s="1"/>
  <c r="AC28" i="1" s="1"/>
  <c r="Q28" i="1"/>
  <c r="V28" i="1" s="1"/>
  <c r="R28" i="1"/>
  <c r="U35" i="1"/>
  <c r="U25" i="1"/>
  <c r="W25" i="1" s="1"/>
  <c r="T41" i="1"/>
  <c r="X41" i="1" s="1"/>
  <c r="AC41" i="1" s="1"/>
  <c r="Q41" i="1"/>
  <c r="V41" i="1" s="1"/>
  <c r="R41" i="1"/>
  <c r="U33" i="1"/>
  <c r="R32" i="1"/>
  <c r="Q32" i="1"/>
  <c r="V32" i="1" s="1"/>
  <c r="U31" i="1"/>
  <c r="U41" i="1"/>
  <c r="U38" i="1"/>
  <c r="T30" i="1"/>
  <c r="X30" i="1" s="1"/>
  <c r="AC30" i="1" s="1"/>
  <c r="Q30" i="1"/>
  <c r="V30" i="1" s="1"/>
  <c r="R30" i="1"/>
  <c r="Q35" i="1"/>
  <c r="V35" i="1" s="1"/>
  <c r="R35" i="1"/>
  <c r="W35" i="1" s="1"/>
  <c r="R40" i="1"/>
  <c r="T40" i="1"/>
  <c r="X40" i="1" s="1"/>
  <c r="AC40" i="1" s="1"/>
  <c r="Q40" i="1"/>
  <c r="V40" i="1" s="1"/>
  <c r="T26" i="1"/>
  <c r="X26" i="1" s="1"/>
  <c r="AC26" i="1" s="1"/>
  <c r="U26" i="1"/>
  <c r="W26" i="1" s="1"/>
  <c r="Q31" i="1"/>
  <c r="V31" i="1" s="1"/>
  <c r="R31" i="1"/>
  <c r="T31" i="1"/>
  <c r="X31" i="1" s="1"/>
  <c r="AC31" i="1" s="1"/>
  <c r="Q38" i="1"/>
  <c r="V38" i="1" s="1"/>
  <c r="AA38" i="1" s="1"/>
  <c r="T38" i="1"/>
  <c r="X38" i="1" s="1"/>
  <c r="AC38" i="1" s="1"/>
  <c r="R38" i="1"/>
  <c r="U24" i="1"/>
  <c r="W24" i="1" s="1"/>
  <c r="T24" i="1"/>
  <c r="X24" i="1" s="1"/>
  <c r="AC24" i="1" s="1"/>
  <c r="D59" i="1"/>
  <c r="H44" i="1"/>
  <c r="T33" i="1" l="1"/>
  <c r="X33" i="1" s="1"/>
  <c r="AC33" i="1" s="1"/>
  <c r="R33" i="1"/>
  <c r="W34" i="1"/>
  <c r="Y34" i="1" s="1"/>
  <c r="W40" i="1"/>
  <c r="AB40" i="1" s="1"/>
  <c r="AD40" i="1" s="1"/>
  <c r="T23" i="1"/>
  <c r="X23" i="1" s="1"/>
  <c r="M44" i="1"/>
  <c r="R23" i="1"/>
  <c r="W23" i="1" s="1"/>
  <c r="AB23" i="1" s="1"/>
  <c r="AB37" i="1"/>
  <c r="AD37" i="1" s="1"/>
  <c r="Y37" i="1"/>
  <c r="W29" i="1"/>
  <c r="AB29" i="1" s="1"/>
  <c r="AD29" i="1" s="1"/>
  <c r="W38" i="1"/>
  <c r="Z38" i="1" s="1"/>
  <c r="W30" i="1"/>
  <c r="Y30" i="1" s="1"/>
  <c r="W31" i="1"/>
  <c r="AB31" i="1" s="1"/>
  <c r="AD31" i="1" s="1"/>
  <c r="W42" i="1"/>
  <c r="Y42" i="1" s="1"/>
  <c r="W32" i="1"/>
  <c r="Z32" i="1" s="1"/>
  <c r="W41" i="1"/>
  <c r="Y41" i="1" s="1"/>
  <c r="W28" i="1"/>
  <c r="Y28" i="1" s="1"/>
  <c r="Z25" i="1"/>
  <c r="Y25" i="1"/>
  <c r="AB25" i="1"/>
  <c r="Y35" i="1"/>
  <c r="AB35" i="1"/>
  <c r="AD35" i="1" s="1"/>
  <c r="AA33" i="1"/>
  <c r="Z39" i="1"/>
  <c r="AA39" i="1"/>
  <c r="Z24" i="1"/>
  <c r="AB24" i="1"/>
  <c r="Y24" i="1"/>
  <c r="AA31" i="1"/>
  <c r="AA35" i="1"/>
  <c r="Z35" i="1"/>
  <c r="AA32" i="1"/>
  <c r="AA34" i="1"/>
  <c r="Y26" i="1"/>
  <c r="Z26" i="1"/>
  <c r="AB26" i="1"/>
  <c r="Y40" i="1"/>
  <c r="AA41" i="1"/>
  <c r="AA27" i="1"/>
  <c r="Z27" i="1"/>
  <c r="AA40" i="1"/>
  <c r="AB39" i="1"/>
  <c r="AD39" i="1" s="1"/>
  <c r="Y39" i="1"/>
  <c r="Q44" i="1"/>
  <c r="AA30" i="1"/>
  <c r="AA28" i="1"/>
  <c r="AA29" i="1"/>
  <c r="AA42" i="1"/>
  <c r="W33" i="1"/>
  <c r="AB27" i="1"/>
  <c r="AD27" i="1" s="1"/>
  <c r="Y27" i="1"/>
  <c r="V23" i="1"/>
  <c r="V44" i="1" s="1"/>
  <c r="Z40" i="1" l="1"/>
  <c r="AB34" i="1"/>
  <c r="AD34" i="1" s="1"/>
  <c r="Z34" i="1"/>
  <c r="Y38" i="1"/>
  <c r="R44" i="1"/>
  <c r="T44" i="1"/>
  <c r="AE37" i="1"/>
  <c r="AF37" i="1" s="1"/>
  <c r="C30" i="5" s="1"/>
  <c r="AB38" i="1"/>
  <c r="AE38" i="1" s="1"/>
  <c r="AF38" i="1" s="1"/>
  <c r="C31" i="5" s="1"/>
  <c r="Y29" i="1"/>
  <c r="Z29" i="1"/>
  <c r="Z30" i="1"/>
  <c r="AB30" i="1"/>
  <c r="AD30" i="1" s="1"/>
  <c r="AB42" i="1"/>
  <c r="AD42" i="1" s="1"/>
  <c r="AB41" i="1"/>
  <c r="AD41" i="1" s="1"/>
  <c r="Z41" i="1"/>
  <c r="Z42" i="1"/>
  <c r="Z28" i="1"/>
  <c r="AB32" i="1"/>
  <c r="AD32" i="1" s="1"/>
  <c r="AB28" i="1"/>
  <c r="AD28" i="1" s="1"/>
  <c r="Y32" i="1"/>
  <c r="AE35" i="1"/>
  <c r="AF35" i="1" s="1"/>
  <c r="Y31" i="1"/>
  <c r="Z31" i="1"/>
  <c r="W44" i="1"/>
  <c r="Z33" i="1"/>
  <c r="AD24" i="1"/>
  <c r="AE24" i="1"/>
  <c r="AF24" i="1" s="1"/>
  <c r="G9" i="6" s="1"/>
  <c r="AE29" i="1"/>
  <c r="AF29" i="1" s="1"/>
  <c r="AD38" i="1"/>
  <c r="AD26" i="1"/>
  <c r="AE26" i="1"/>
  <c r="AF26" i="1" s="1"/>
  <c r="AE39" i="1"/>
  <c r="AF39" i="1" s="1"/>
  <c r="C32" i="5" s="1"/>
  <c r="AD25" i="1"/>
  <c r="AE25" i="1"/>
  <c r="AF25" i="1" s="1"/>
  <c r="AE27" i="1"/>
  <c r="AF27" i="1" s="1"/>
  <c r="AB33" i="1"/>
  <c r="AD33" i="1" s="1"/>
  <c r="Y33" i="1"/>
  <c r="AE40" i="1"/>
  <c r="AF40" i="1" s="1"/>
  <c r="AE31" i="1"/>
  <c r="AF31" i="1" s="1"/>
  <c r="AC23" i="1"/>
  <c r="AC44" i="1" s="1"/>
  <c r="X44" i="1"/>
  <c r="Y23" i="1"/>
  <c r="Z23" i="1"/>
  <c r="AA23" i="1"/>
  <c r="AE34" i="1" l="1"/>
  <c r="AF34" i="1" s="1"/>
  <c r="C27" i="5" s="1"/>
  <c r="C18" i="5"/>
  <c r="G10" i="6"/>
  <c r="C22" i="5"/>
  <c r="G14" i="6"/>
  <c r="C28" i="5"/>
  <c r="G20" i="6"/>
  <c r="C24" i="5"/>
  <c r="G16" i="6"/>
  <c r="C20" i="5"/>
  <c r="G12" i="6"/>
  <c r="C19" i="5"/>
  <c r="G11" i="6"/>
  <c r="K14" i="4"/>
  <c r="L14" i="4" s="1"/>
  <c r="K12" i="4"/>
  <c r="L12" i="4" s="1"/>
  <c r="C17" i="5"/>
  <c r="C29" i="5"/>
  <c r="AE41" i="1"/>
  <c r="AF41" i="1" s="1"/>
  <c r="AE42" i="1"/>
  <c r="AF42" i="1" s="1"/>
  <c r="AE30" i="1"/>
  <c r="AF30" i="1" s="1"/>
  <c r="AE32" i="1"/>
  <c r="AF32" i="1" s="1"/>
  <c r="AE28" i="1"/>
  <c r="AF28" i="1" s="1"/>
  <c r="AB44" i="1"/>
  <c r="Z44" i="1"/>
  <c r="Y44" i="1"/>
  <c r="AE33" i="1"/>
  <c r="AF33" i="1" s="1"/>
  <c r="AD23" i="1"/>
  <c r="AD44" i="1" s="1"/>
  <c r="AE23" i="1"/>
  <c r="AA44" i="1"/>
  <c r="G19" i="6" l="1"/>
  <c r="C26" i="5"/>
  <c r="G18" i="6"/>
  <c r="C21" i="5"/>
  <c r="G13" i="6"/>
  <c r="C25" i="5"/>
  <c r="G17" i="6"/>
  <c r="C23" i="5"/>
  <c r="G15" i="6"/>
  <c r="AF23" i="1"/>
  <c r="AE44" i="1"/>
  <c r="AF44" i="1" s="1"/>
  <c r="C16" i="5" l="1"/>
  <c r="G7" i="6"/>
  <c r="G8" i="6" s="1"/>
  <c r="D67" i="1"/>
</calcChain>
</file>

<file path=xl/sharedStrings.xml><?xml version="1.0" encoding="utf-8"?>
<sst xmlns="http://schemas.openxmlformats.org/spreadsheetml/2006/main" count="336" uniqueCount="167">
  <si>
    <t>Type biomasse</t>
  </si>
  <si>
    <t>TS</t>
  </si>
  <si>
    <t>[%]</t>
  </si>
  <si>
    <t>VS</t>
  </si>
  <si>
    <t>[kWh/ton våd vægt]</t>
  </si>
  <si>
    <t>KOD</t>
  </si>
  <si>
    <t>Have- parkaffald</t>
  </si>
  <si>
    <t>Grøftekanter</t>
  </si>
  <si>
    <t>Effektivitet af RT på RA</t>
  </si>
  <si>
    <t>Type</t>
  </si>
  <si>
    <t>Nedre brændværdi</t>
  </si>
  <si>
    <t>Forudsætninger</t>
  </si>
  <si>
    <t>Metan</t>
  </si>
  <si>
    <t>Naturgas</t>
  </si>
  <si>
    <t>Bygas</t>
  </si>
  <si>
    <t>51%/49% naturgas/luft</t>
  </si>
  <si>
    <t>Biogas</t>
  </si>
  <si>
    <t>60% metanindhold</t>
  </si>
  <si>
    <t>Propan (LPG)</t>
  </si>
  <si>
    <t>Fyringsolie</t>
  </si>
  <si>
    <t>Træpiller</t>
  </si>
  <si>
    <t>Vandindhold: 7%</t>
  </si>
  <si>
    <t>Halm</t>
  </si>
  <si>
    <t>Vandindhold: 15%</t>
  </si>
  <si>
    <t>Spildevandsslam</t>
  </si>
  <si>
    <t>Densitet og TS</t>
  </si>
  <si>
    <r>
      <t>MJ/m</t>
    </r>
    <r>
      <rPr>
        <vertAlign val="superscript"/>
        <sz val="9"/>
        <color theme="1"/>
        <rFont val="Verdana"/>
        <family val="2"/>
      </rPr>
      <t>3</t>
    </r>
  </si>
  <si>
    <t>GJ/ton</t>
  </si>
  <si>
    <t>Enhed</t>
  </si>
  <si>
    <r>
      <t>kWh/m</t>
    </r>
    <r>
      <rPr>
        <b/>
        <vertAlign val="superscript"/>
        <sz val="9"/>
        <color theme="1"/>
        <rFont val="Verdana"/>
        <family val="2"/>
      </rPr>
      <t>3</t>
    </r>
  </si>
  <si>
    <r>
      <t>kWh/m</t>
    </r>
    <r>
      <rPr>
        <vertAlign val="superscript"/>
        <sz val="9"/>
        <color theme="1"/>
        <rFont val="Verdana"/>
        <family val="2"/>
      </rPr>
      <t>3</t>
    </r>
  </si>
  <si>
    <t>MWh/ton</t>
  </si>
  <si>
    <t>Fiskeindustri</t>
  </si>
  <si>
    <t>Kartoffelindustri</t>
  </si>
  <si>
    <t>Slagteindustri</t>
  </si>
  <si>
    <t>Mælkeindustri</t>
  </si>
  <si>
    <t>Glycerin</t>
  </si>
  <si>
    <t>Alger</t>
  </si>
  <si>
    <t>Tang</t>
  </si>
  <si>
    <t>Grødeskær</t>
  </si>
  <si>
    <t>Affald fra service sektoren</t>
  </si>
  <si>
    <t>Kilde</t>
  </si>
  <si>
    <t>Mængde</t>
  </si>
  <si>
    <t>Energiproduktion</t>
  </si>
  <si>
    <t>[tons våd vægt/år]</t>
  </si>
  <si>
    <t>[kWh/år]</t>
  </si>
  <si>
    <t>El</t>
  </si>
  <si>
    <t>Varme</t>
  </si>
  <si>
    <t>Gasmotor - varme-effekt:</t>
  </si>
  <si>
    <t>Gasmotor - el-effekt:</t>
  </si>
  <si>
    <t>Gasopgradering</t>
  </si>
  <si>
    <t>Sum:</t>
  </si>
  <si>
    <t>Gasmotor drift</t>
  </si>
  <si>
    <t>Andel</t>
  </si>
  <si>
    <t>Gasmotor drift andel:</t>
  </si>
  <si>
    <t>Gasopgradering andel:</t>
  </si>
  <si>
    <t>kWh/tons våd vægt</t>
  </si>
  <si>
    <t>ved RT på RA (50%)</t>
  </si>
  <si>
    <t>Gasopgradering effekt:</t>
  </si>
  <si>
    <t>energi</t>
  </si>
  <si>
    <t>Eksport af</t>
  </si>
  <si>
    <t>El+Gas</t>
  </si>
  <si>
    <t>El+Varme+Gas</t>
  </si>
  <si>
    <t>Forudsætninger:</t>
  </si>
  <si>
    <t>Strømforbrug gasopgradering:</t>
  </si>
  <si>
    <r>
      <t>kWh/m</t>
    </r>
    <r>
      <rPr>
        <vertAlign val="superscript"/>
        <sz val="9"/>
        <color theme="1"/>
        <rFont val="Verdana"/>
        <family val="2"/>
      </rPr>
      <t>3</t>
    </r>
    <r>
      <rPr>
        <sz val="9"/>
        <color theme="1"/>
        <rFont val="Verdana"/>
        <family val="2"/>
      </rPr>
      <t xml:space="preserve"> rå gas</t>
    </r>
  </si>
  <si>
    <r>
      <t>[m</t>
    </r>
    <r>
      <rPr>
        <b/>
        <vertAlign val="superscript"/>
        <sz val="9"/>
        <color theme="1"/>
        <rFont val="Verdana"/>
        <family val="2"/>
      </rPr>
      <t>3</t>
    </r>
    <r>
      <rPr>
        <b/>
        <sz val="9"/>
        <color theme="1"/>
        <rFont val="Verdana"/>
        <family val="2"/>
      </rPr>
      <t xml:space="preserve"> CH</t>
    </r>
    <r>
      <rPr>
        <b/>
        <vertAlign val="subscript"/>
        <sz val="9"/>
        <color theme="1"/>
        <rFont val="Verdana"/>
        <family val="2"/>
      </rPr>
      <t>4</t>
    </r>
    <r>
      <rPr>
        <b/>
        <sz val="9"/>
        <color theme="1"/>
        <rFont val="Verdana"/>
        <family val="2"/>
      </rPr>
      <t>/ton VS]</t>
    </r>
  </si>
  <si>
    <r>
      <t>[m</t>
    </r>
    <r>
      <rPr>
        <b/>
        <vertAlign val="superscript"/>
        <sz val="9"/>
        <color theme="1"/>
        <rFont val="Verdana"/>
        <family val="2"/>
      </rPr>
      <t>3</t>
    </r>
    <r>
      <rPr>
        <b/>
        <sz val="9"/>
        <color theme="1"/>
        <rFont val="Verdana"/>
        <family val="2"/>
      </rPr>
      <t xml:space="preserve"> CH</t>
    </r>
    <r>
      <rPr>
        <b/>
        <vertAlign val="subscript"/>
        <sz val="9"/>
        <color theme="1"/>
        <rFont val="Verdana"/>
        <family val="2"/>
      </rPr>
      <t>4</t>
    </r>
    <r>
      <rPr>
        <b/>
        <sz val="9"/>
        <color theme="1"/>
        <rFont val="Verdana"/>
        <family val="2"/>
      </rPr>
      <t>/ton våd vægt]</t>
    </r>
  </si>
  <si>
    <r>
      <t>[m</t>
    </r>
    <r>
      <rPr>
        <b/>
        <vertAlign val="superscript"/>
        <sz val="9"/>
        <color theme="1"/>
        <rFont val="Verdana"/>
        <family val="2"/>
      </rPr>
      <t>3</t>
    </r>
    <r>
      <rPr>
        <b/>
        <sz val="9"/>
        <color theme="1"/>
        <rFont val="Verdana"/>
        <family val="2"/>
      </rPr>
      <t xml:space="preserve"> CH</t>
    </r>
    <r>
      <rPr>
        <b/>
        <vertAlign val="subscript"/>
        <sz val="9"/>
        <color theme="1"/>
        <rFont val="Verdana"/>
        <family val="2"/>
      </rPr>
      <t>4</t>
    </r>
    <r>
      <rPr>
        <b/>
        <sz val="9"/>
        <color theme="1"/>
        <rFont val="Verdana"/>
        <family val="2"/>
      </rPr>
      <t>/år]</t>
    </r>
  </si>
  <si>
    <t>Strømforbrug RT:</t>
  </si>
  <si>
    <t>Metanindhold:</t>
  </si>
  <si>
    <t>Metanpotentiale</t>
  </si>
  <si>
    <t>Biogaspotentiale</t>
  </si>
  <si>
    <t>Energiproduktion afhængig af tørstofindhold</t>
  </si>
  <si>
    <t>Ikke-udrådnet slam</t>
  </si>
  <si>
    <t>gasproduktion (kWh/ton)</t>
  </si>
  <si>
    <t>Ændring i %</t>
  </si>
  <si>
    <t>Opvarmning RT (varme)</t>
  </si>
  <si>
    <t xml:space="preserve">Realiseret gasproduktion </t>
  </si>
  <si>
    <r>
      <t>[m</t>
    </r>
    <r>
      <rPr>
        <b/>
        <vertAlign val="superscript"/>
        <sz val="9"/>
        <color theme="1"/>
        <rFont val="Verdana"/>
        <family val="2"/>
      </rPr>
      <t>3</t>
    </r>
    <r>
      <rPr>
        <b/>
        <sz val="9"/>
        <color theme="1"/>
        <rFont val="Verdana"/>
        <family val="2"/>
      </rPr>
      <t>/år]</t>
    </r>
  </si>
  <si>
    <t xml:space="preserve">Gaspotentialer </t>
  </si>
  <si>
    <t>Energiproduktion ved bioforgasning</t>
  </si>
  <si>
    <t>Udbytte ved anvendelse af "rimelig teknologi"</t>
  </si>
  <si>
    <t>[m³/år]</t>
  </si>
  <si>
    <t>[m³/ton våd vægt]</t>
  </si>
  <si>
    <t xml:space="preserve">Energi i biogas </t>
  </si>
  <si>
    <t>Egetforbrug RT</t>
  </si>
  <si>
    <t>Opvarmning</t>
  </si>
  <si>
    <t xml:space="preserve">El-forbrug </t>
  </si>
  <si>
    <t>Egetforbrug</t>
  </si>
  <si>
    <t xml:space="preserve">El </t>
  </si>
  <si>
    <t>Gas</t>
  </si>
  <si>
    <t xml:space="preserve">Eksport </t>
  </si>
  <si>
    <t>kWh/ton</t>
  </si>
  <si>
    <t>Eksportværdi af el</t>
  </si>
  <si>
    <t>Eksportværdi af varme</t>
  </si>
  <si>
    <t>energiværdi af el</t>
  </si>
  <si>
    <t>Eksportværdi</t>
  </si>
  <si>
    <t>El og gastab</t>
  </si>
  <si>
    <t xml:space="preserve">Bemærkninger </t>
  </si>
  <si>
    <t>kWh/m³</t>
  </si>
  <si>
    <t>60 % metan indhold, renset</t>
  </si>
  <si>
    <t>51 % /49 % naturgas/luft</t>
  </si>
  <si>
    <t>Gasolie</t>
  </si>
  <si>
    <t>Vandindhold: 7 %</t>
  </si>
  <si>
    <t>Vandindhold: 15 %</t>
  </si>
  <si>
    <t>Virkningsgrad [%]</t>
  </si>
  <si>
    <t xml:space="preserve">Tørret slam </t>
  </si>
  <si>
    <t>Spildevandsslam, ikke-udrådnet</t>
  </si>
  <si>
    <t>Spildevandsslam, udrådnet</t>
  </si>
  <si>
    <t>Fugt [%]</t>
  </si>
  <si>
    <t>Aske [% af TS]</t>
  </si>
  <si>
    <t>50% VS, 90% TS</t>
  </si>
  <si>
    <t xml:space="preserve">Energi anvendt (nedre brændværdi) </t>
  </si>
  <si>
    <t xml:space="preserve">Energi, beregnet (nedre brændværdi) </t>
  </si>
  <si>
    <t>Energi (nedre brændværdi), tør, askefri</t>
  </si>
  <si>
    <t>50% VS, 25% TS</t>
  </si>
  <si>
    <t>Eksportværdi, RT</t>
  </si>
  <si>
    <t>Forskel, RT-termisk</t>
  </si>
  <si>
    <t>70% VS, 22% TS, virkningsgrad, så output svarer til RT</t>
  </si>
  <si>
    <t>70% VS, 22% TS</t>
  </si>
  <si>
    <t>NB! 6% TS, 70% VS</t>
  </si>
  <si>
    <t xml:space="preserve">90% VS, 30% TS. </t>
  </si>
  <si>
    <t xml:space="preserve">90% VS, 25% TS. </t>
  </si>
  <si>
    <t xml:space="preserve">10% aske af TS (90% VS), 30% TS. Kan opnå 130% virkningsgrad i forbrændingsanlæg med røggaskondensering, men her regnes samme som RT. </t>
  </si>
  <si>
    <t>Biomasse til biogasanlæg i Danmark - på kort og langt sigt</t>
  </si>
  <si>
    <t>Torkild Birkmose, Kurt Hjort-Gregersen og Kasper Stefanek</t>
  </si>
  <si>
    <t>Revideret udgave, november 2013</t>
  </si>
  <si>
    <t>Nature Energy - NGF</t>
  </si>
  <si>
    <t>Algae Biomass for Bioenergy in Denmark - Biological/Technical Challenges and Opportunities</t>
  </si>
  <si>
    <t>Titel</t>
  </si>
  <si>
    <t>Forfatter</t>
  </si>
  <si>
    <t>Udgave/årstal</t>
  </si>
  <si>
    <t>-</t>
  </si>
  <si>
    <t>Agrotech</t>
  </si>
  <si>
    <t>Udgiver</t>
  </si>
  <si>
    <t>Susse Wegeberg, Department of Biology, SCIENCE</t>
  </si>
  <si>
    <t>University of Copenhagen</t>
  </si>
  <si>
    <t>Udnyttelse af tang og restprodukter til produktion af biogas - FASE 1</t>
  </si>
  <si>
    <t>Anders M. Fredenslund (Solrød Kommune) m.fl.</t>
  </si>
  <si>
    <t>Solrød Kommune</t>
  </si>
  <si>
    <t>November 2010</t>
  </si>
  <si>
    <t>Intelligent udnyttelse af kulstof og energi på renseanlæg</t>
  </si>
  <si>
    <t>Envidan</t>
  </si>
  <si>
    <t>Miljøstyrelsen</t>
  </si>
  <si>
    <t>100% metan</t>
  </si>
  <si>
    <t>Dansk naturgas</t>
  </si>
  <si>
    <t>biomasse</t>
  </si>
  <si>
    <r>
      <t>[m</t>
    </r>
    <r>
      <rPr>
        <b/>
        <vertAlign val="superscript"/>
        <sz val="9"/>
        <color rgb="FFFFFFFF"/>
        <rFont val="Verdana"/>
        <family val="2"/>
      </rPr>
      <t>3</t>
    </r>
    <r>
      <rPr>
        <b/>
        <sz val="9"/>
        <color rgb="FFFFFFFF"/>
        <rFont val="Verdana"/>
        <family val="2"/>
      </rPr>
      <t xml:space="preserve"> CH</t>
    </r>
    <r>
      <rPr>
        <b/>
        <vertAlign val="subscript"/>
        <sz val="9"/>
        <color rgb="FFFFFFFF"/>
        <rFont val="Verdana"/>
        <family val="2"/>
      </rPr>
      <t>4</t>
    </r>
    <r>
      <rPr>
        <b/>
        <sz val="9"/>
        <color rgb="FFFFFFFF"/>
        <rFont val="Verdana"/>
        <family val="2"/>
      </rPr>
      <t>/ton VS]</t>
    </r>
  </si>
  <si>
    <r>
      <t>[m</t>
    </r>
    <r>
      <rPr>
        <b/>
        <vertAlign val="superscript"/>
        <sz val="9"/>
        <color rgb="FFFFFFFF"/>
        <rFont val="Verdana"/>
        <family val="2"/>
      </rPr>
      <t>3</t>
    </r>
    <r>
      <rPr>
        <b/>
        <sz val="9"/>
        <color rgb="FFFFFFFF"/>
        <rFont val="Verdana"/>
        <family val="2"/>
      </rPr>
      <t xml:space="preserve"> CH</t>
    </r>
    <r>
      <rPr>
        <b/>
        <vertAlign val="subscript"/>
        <sz val="9"/>
        <color rgb="FFFFFFFF"/>
        <rFont val="Verdana"/>
        <family val="2"/>
      </rPr>
      <t>4</t>
    </r>
    <r>
      <rPr>
        <b/>
        <sz val="9"/>
        <color rgb="FFFFFFFF"/>
        <rFont val="Verdana"/>
        <family val="2"/>
      </rPr>
      <t>/ton våd vægt]</t>
    </r>
  </si>
  <si>
    <t>Gasproduktion ved RT på RA</t>
  </si>
  <si>
    <t>Energigevinst</t>
  </si>
  <si>
    <t xml:space="preserve">til tabel </t>
  </si>
  <si>
    <t>elforbrug mv. (0 for det regnes indeholdt i 90% virkningsgrad)</t>
  </si>
  <si>
    <t xml:space="preserve">Energigevinst  til tabel </t>
  </si>
  <si>
    <t xml:space="preserve">energiværdi af varme til/fra fjernvarme </t>
  </si>
  <si>
    <t>Energiværdi af biogas og opgraderet biogas, uanset trykniveau</t>
  </si>
  <si>
    <t xml:space="preserve">inkl. tab af gas og energiforbrug til opgradering </t>
  </si>
  <si>
    <t>Eksportværdi af opgraderet gas</t>
  </si>
  <si>
    <t>[% af TS]</t>
  </si>
  <si>
    <t xml:space="preserve">°C </t>
  </si>
  <si>
    <t xml:space="preserve">Opvarmning netto 21,5 °C </t>
  </si>
  <si>
    <t>Værdi</t>
  </si>
  <si>
    <t xml:space="preserve">Ikke-udrådnet slam, afvandet slam </t>
  </si>
  <si>
    <t>Ikke-udrådnet slam, tykslam</t>
  </si>
  <si>
    <t>[m3 CH4/ton VS]</t>
  </si>
  <si>
    <t>[m3 CH4/ton våd vægt]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</si>
</sst>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#,##0.0"/>
  </numFmts>
  <fonts count="10" x14ac:knownFonts="1">
    <font>
      <sz val="9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vertAlign val="superscript"/>
      <sz val="9"/>
      <color theme="1"/>
      <name val="Verdana"/>
      <family val="2"/>
    </font>
    <font>
      <b/>
      <vertAlign val="superscript"/>
      <sz val="9"/>
      <color theme="1"/>
      <name val="Verdana"/>
      <family val="2"/>
    </font>
    <font>
      <i/>
      <sz val="9"/>
      <color theme="1"/>
      <name val="Verdana"/>
      <family val="2"/>
    </font>
    <font>
      <b/>
      <vertAlign val="subscript"/>
      <sz val="9"/>
      <color theme="1"/>
      <name val="Verdana"/>
      <family val="2"/>
    </font>
    <font>
      <b/>
      <sz val="9"/>
      <color rgb="FFFFFFFF"/>
      <name val="Verdana"/>
      <family val="2"/>
    </font>
    <font>
      <b/>
      <vertAlign val="superscript"/>
      <sz val="9"/>
      <color rgb="FFFFFFFF"/>
      <name val="Verdana"/>
      <family val="2"/>
    </font>
    <font>
      <b/>
      <vertAlign val="subscript"/>
      <sz val="9"/>
      <color rgb="FFFFFFFF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7D3F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A7D3F5"/>
      </right>
      <top style="medium">
        <color rgb="FFA7D3F5"/>
      </top>
      <bottom/>
      <diagonal/>
    </border>
    <border>
      <left style="medium">
        <color rgb="FFA7D3F5"/>
      </left>
      <right/>
      <top style="medium">
        <color rgb="FFA7D3F5"/>
      </top>
      <bottom style="medium">
        <color rgb="FFA7D3F5"/>
      </bottom>
      <diagonal/>
    </border>
    <border>
      <left/>
      <right/>
      <top style="medium">
        <color rgb="FFA7D3F5"/>
      </top>
      <bottom style="medium">
        <color rgb="FFA7D3F5"/>
      </bottom>
      <diagonal/>
    </border>
    <border>
      <left style="medium">
        <color rgb="FFA7D3F5"/>
      </left>
      <right/>
      <top style="medium">
        <color rgb="FFA7D3F5"/>
      </top>
      <bottom/>
      <diagonal/>
    </border>
    <border>
      <left style="medium">
        <color rgb="FFA7D3F5"/>
      </left>
      <right/>
      <top/>
      <bottom/>
      <diagonal/>
    </border>
    <border>
      <left/>
      <right/>
      <top style="medium">
        <color rgb="FFA7D3F5"/>
      </top>
      <bottom/>
      <diagonal/>
    </border>
    <border>
      <left/>
      <right style="medium">
        <color rgb="FFA7D3F5"/>
      </right>
      <top/>
      <bottom/>
      <diagonal/>
    </border>
    <border>
      <left/>
      <right style="medium">
        <color rgb="FFA7D3F5"/>
      </right>
      <top/>
      <bottom style="medium">
        <color rgb="FFA7D3F5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9" fontId="0" fillId="0" borderId="0" xfId="1" applyFont="1"/>
    <xf numFmtId="164" fontId="0" fillId="0" borderId="0" xfId="0" applyNumberFormat="1"/>
    <xf numFmtId="0" fontId="2" fillId="0" borderId="0" xfId="0" applyFont="1"/>
    <xf numFmtId="0" fontId="0" fillId="0" borderId="1" xfId="0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right" vertical="center" wrapText="1"/>
    </xf>
    <xf numFmtId="1" fontId="0" fillId="0" borderId="0" xfId="0" applyNumberFormat="1"/>
    <xf numFmtId="9" fontId="0" fillId="0" borderId="0" xfId="1" applyFont="1" applyFill="1"/>
    <xf numFmtId="9" fontId="0" fillId="2" borderId="0" xfId="1" applyFont="1" applyFill="1"/>
    <xf numFmtId="0" fontId="0" fillId="2" borderId="0" xfId="0" applyFill="1"/>
    <xf numFmtId="3" fontId="0" fillId="0" borderId="0" xfId="0" applyNumberFormat="1"/>
    <xf numFmtId="3" fontId="2" fillId="0" borderId="0" xfId="0" applyNumberFormat="1" applyFont="1"/>
    <xf numFmtId="9" fontId="2" fillId="0" borderId="0" xfId="1" applyFont="1"/>
    <xf numFmtId="1" fontId="0" fillId="2" borderId="0" xfId="1" applyNumberFormat="1" applyFont="1" applyFill="1"/>
    <xf numFmtId="166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3" borderId="0" xfId="0" applyFont="1" applyFill="1"/>
    <xf numFmtId="0" fontId="0" fillId="3" borderId="0" xfId="0" applyFill="1"/>
    <xf numFmtId="0" fontId="2" fillId="3" borderId="0" xfId="0" applyFont="1" applyFill="1" applyAlignment="1">
      <alignment vertical="center" wrapText="1"/>
    </xf>
    <xf numFmtId="0" fontId="2" fillId="4" borderId="0" xfId="0" applyFont="1" applyFill="1"/>
    <xf numFmtId="0" fontId="0" fillId="4" borderId="0" xfId="0" applyFill="1"/>
    <xf numFmtId="0" fontId="2" fillId="4" borderId="0" xfId="0" applyFont="1" applyFill="1" applyAlignment="1">
      <alignment vertical="center" wrapText="1"/>
    </xf>
    <xf numFmtId="0" fontId="2" fillId="5" borderId="0" xfId="0" applyFont="1" applyFill="1"/>
    <xf numFmtId="0" fontId="2" fillId="5" borderId="0" xfId="0" applyFont="1" applyFill="1" applyAlignment="1">
      <alignment vertical="center" wrapText="1"/>
    </xf>
    <xf numFmtId="0" fontId="2" fillId="6" borderId="0" xfId="0" applyFont="1" applyFill="1"/>
    <xf numFmtId="0" fontId="2" fillId="6" borderId="0" xfId="0" applyFont="1" applyFill="1" applyAlignment="1">
      <alignment vertical="center" wrapText="1"/>
    </xf>
    <xf numFmtId="0" fontId="2" fillId="8" borderId="0" xfId="0" applyFont="1" applyFill="1"/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2" fillId="7" borderId="0" xfId="0" applyFont="1" applyFill="1"/>
    <xf numFmtId="0" fontId="2" fillId="7" borderId="0" xfId="0" applyFont="1" applyFill="1" applyAlignment="1">
      <alignment vertical="center" wrapText="1"/>
    </xf>
    <xf numFmtId="0" fontId="2" fillId="9" borderId="0" xfId="0" applyFont="1" applyFill="1" applyAlignment="1">
      <alignment horizontal="center"/>
    </xf>
    <xf numFmtId="0" fontId="2" fillId="9" borderId="0" xfId="0" applyFont="1" applyFill="1"/>
    <xf numFmtId="0" fontId="2" fillId="9" borderId="0" xfId="0" applyFont="1" applyFill="1" applyAlignment="1">
      <alignment vertical="center" wrapText="1"/>
    </xf>
    <xf numFmtId="0" fontId="2" fillId="10" borderId="0" xfId="0" applyFont="1" applyFill="1" applyAlignment="1">
      <alignment horizontal="center"/>
    </xf>
    <xf numFmtId="0" fontId="2" fillId="10" borderId="0" xfId="0" applyFont="1" applyFill="1"/>
    <xf numFmtId="0" fontId="2" fillId="10" borderId="0" xfId="0" applyFont="1" applyFill="1" applyAlignment="1">
      <alignment vertical="center" wrapText="1"/>
    </xf>
    <xf numFmtId="0" fontId="0" fillId="9" borderId="0" xfId="0" applyFill="1"/>
    <xf numFmtId="0" fontId="2" fillId="5" borderId="0" xfId="0" applyFont="1" applyFill="1" applyAlignment="1">
      <alignment horizontal="left"/>
    </xf>
    <xf numFmtId="0" fontId="0" fillId="5" borderId="0" xfId="0" applyFill="1"/>
    <xf numFmtId="0" fontId="2" fillId="5" borderId="0" xfId="0" applyFont="1" applyFill="1" applyAlignment="1">
      <alignment wrapText="1"/>
    </xf>
    <xf numFmtId="166" fontId="2" fillId="0" borderId="0" xfId="0" applyNumberFormat="1" applyFont="1"/>
    <xf numFmtId="0" fontId="2" fillId="0" borderId="12" xfId="0" applyFont="1" applyBorder="1" applyAlignment="1">
      <alignment vertical="center" wrapText="1"/>
    </xf>
    <xf numFmtId="0" fontId="0" fillId="0" borderId="13" xfId="0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11" borderId="11" xfId="0" applyFont="1" applyFill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0" xfId="0" quotePrefix="1"/>
    <xf numFmtId="17" fontId="0" fillId="0" borderId="0" xfId="0" quotePrefix="1" applyNumberFormat="1"/>
    <xf numFmtId="0" fontId="7" fillId="11" borderId="0" xfId="0" applyFont="1" applyFill="1" applyAlignment="1">
      <alignment vertical="center" wrapText="1"/>
    </xf>
    <xf numFmtId="0" fontId="0" fillId="11" borderId="0" xfId="0" applyFill="1" applyAlignment="1">
      <alignment vertical="top" wrapText="1"/>
    </xf>
    <xf numFmtId="0" fontId="7" fillId="11" borderId="14" xfId="0" applyFont="1" applyFill="1" applyBorder="1" applyAlignment="1">
      <alignment vertical="center" wrapText="1"/>
    </xf>
    <xf numFmtId="0" fontId="7" fillId="11" borderId="15" xfId="0" applyFont="1" applyFill="1" applyBorder="1" applyAlignment="1">
      <alignment vertical="center" wrapText="1"/>
    </xf>
    <xf numFmtId="0" fontId="0" fillId="11" borderId="15" xfId="0" applyFill="1" applyBorder="1" applyAlignment="1">
      <alignment vertical="top" wrapText="1"/>
    </xf>
    <xf numFmtId="0" fontId="7" fillId="11" borderId="16" xfId="0" applyFont="1" applyFill="1" applyBorder="1" applyAlignment="1">
      <alignment vertical="center" wrapText="1"/>
    </xf>
    <xf numFmtId="0" fontId="7" fillId="11" borderId="11" xfId="0" applyFont="1" applyFill="1" applyBorder="1" applyAlignment="1">
      <alignment vertical="center" wrapText="1"/>
    </xf>
    <xf numFmtId="9" fontId="7" fillId="11" borderId="17" xfId="0" applyNumberFormat="1" applyFont="1" applyFill="1" applyBorder="1" applyAlignment="1">
      <alignment vertical="center" wrapText="1"/>
    </xf>
    <xf numFmtId="0" fontId="7" fillId="11" borderId="18" xfId="0" applyFont="1" applyFill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1" fontId="0" fillId="0" borderId="13" xfId="0" applyNumberFormat="1" applyBorder="1" applyAlignment="1">
      <alignment vertical="center" wrapText="1"/>
    </xf>
    <xf numFmtId="164" fontId="0" fillId="0" borderId="13" xfId="0" applyNumberFormat="1" applyBorder="1" applyAlignment="1">
      <alignment vertical="center" wrapText="1"/>
    </xf>
    <xf numFmtId="3" fontId="0" fillId="0" borderId="13" xfId="0" applyNumberFormat="1" applyBorder="1" applyAlignment="1">
      <alignment vertical="center" wrapText="1"/>
    </xf>
    <xf numFmtId="164" fontId="0" fillId="2" borderId="0" xfId="1" applyNumberFormat="1" applyFont="1" applyFill="1"/>
    <xf numFmtId="0" fontId="0" fillId="0" borderId="0" xfId="0" applyAlignment="1">
      <alignment horizontal="right"/>
    </xf>
    <xf numFmtId="0" fontId="2" fillId="10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3" xfId="0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0" fillId="0" borderId="6" xfId="0" applyBorder="1" applyAlignment="1">
      <alignment horizontal="right" vertical="center" wrapText="1"/>
    </xf>
  </cellXfs>
  <cellStyles count="2">
    <cellStyle name="Normal" xfId="0" builtinId="0"/>
    <cellStyle name="Pro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Gasproduktion og energigevinst mod tørstof, </a:t>
            </a:r>
            <a:br>
              <a:rPr lang="en-US"/>
            </a:br>
            <a:r>
              <a:rPr lang="en-US"/>
              <a:t>fortykket, ikke-udrådnet slam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5608573928258968"/>
          <c:y val="0.26784508420385328"/>
          <c:w val="0.80045603674540677"/>
          <c:h val="0.59092957130358703"/>
        </c:manualLayout>
      </c:layout>
      <c:scatterChart>
        <c:scatterStyle val="lineMarker"/>
        <c:varyColors val="0"/>
        <c:ser>
          <c:idx val="1"/>
          <c:order val="1"/>
          <c:tx>
            <c:strRef>
              <c:f>'Biomasse til RT'!$A$68</c:f>
              <c:strCache>
                <c:ptCount val="1"/>
                <c:pt idx="0">
                  <c:v>Energigevinst  til tabel 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'Biomasse til RT'!$C$68:$C$72</c:f>
              <c:numCache>
                <c:formatCode>0%</c:formatCode>
                <c:ptCount val="5"/>
                <c:pt idx="0">
                  <c:v>0.04</c:v>
                </c:pt>
                <c:pt idx="1">
                  <c:v>0.05</c:v>
                </c:pt>
                <c:pt idx="2">
                  <c:v>0.06</c:v>
                </c:pt>
                <c:pt idx="3">
                  <c:v>7.0000000000000007E-2</c:v>
                </c:pt>
                <c:pt idx="4">
                  <c:v>0.08</c:v>
                </c:pt>
              </c:numCache>
            </c:numRef>
          </c:xVal>
          <c:yVal>
            <c:numRef>
              <c:f>'Biomasse til RT'!$D$68:$D$72</c:f>
              <c:numCache>
                <c:formatCode>0.0</c:formatCode>
                <c:ptCount val="5"/>
                <c:pt idx="0">
                  <c:v>0.99464599999999592</c:v>
                </c:pt>
                <c:pt idx="1">
                  <c:v>11.2433075</c:v>
                </c:pt>
                <c:pt idx="2">
                  <c:v>21.491969000000005</c:v>
                </c:pt>
                <c:pt idx="3">
                  <c:v>31.740630500000023</c:v>
                </c:pt>
                <c:pt idx="4">
                  <c:v>41.989291999999985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A2-4749-BD30-C6BBA3217FB5}"/>
            </c:ext>
          </c:extLst>
        </c:ser>
        <c:ser>
          <c:idx val="0"/>
          <c:order val="0"/>
          <c:tx>
            <c:v>Energiproduktion </c:v>
          </c:tx>
          <c:xVal>
            <c:numRef>
              <c:f>'Biomasse til RT'!$C$60:$C$64</c:f>
              <c:numCache>
                <c:formatCode>0%</c:formatCode>
                <c:ptCount val="5"/>
                <c:pt idx="0">
                  <c:v>0.04</c:v>
                </c:pt>
                <c:pt idx="1">
                  <c:v>0.05</c:v>
                </c:pt>
                <c:pt idx="2">
                  <c:v>0.06</c:v>
                </c:pt>
                <c:pt idx="3">
                  <c:v>7.0000000000000007E-2</c:v>
                </c:pt>
                <c:pt idx="4">
                  <c:v>0.08</c:v>
                </c:pt>
              </c:numCache>
            </c:numRef>
          </c:xVal>
          <c:yVal>
            <c:numRef>
              <c:f>'Biomasse til RT'!$D$60:$D$64</c:f>
              <c:numCache>
                <c:formatCode>General</c:formatCode>
                <c:ptCount val="5"/>
                <c:pt idx="0">
                  <c:v>46.061399999999992</c:v>
                </c:pt>
                <c:pt idx="1">
                  <c:v>57.576749999999997</c:v>
                </c:pt>
                <c:pt idx="2">
                  <c:v>69.092100000000002</c:v>
                </c:pt>
                <c:pt idx="3">
                  <c:v>80.607450000000014</c:v>
                </c:pt>
                <c:pt idx="4">
                  <c:v>92.122799999999984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A2-4749-BD30-C6BBA3217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3815296"/>
        <c:axId val="343817216"/>
      </c:scatterChart>
      <c:valAx>
        <c:axId val="343815296"/>
        <c:scaling>
          <c:orientation val="minMax"/>
          <c:min val="3.0000000000000006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tørstof %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343817216"/>
        <c:crosses val="autoZero"/>
        <c:crossBetween val="midCat"/>
      </c:valAx>
      <c:valAx>
        <c:axId val="3438172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energi kWh/ton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4381529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838175959221684"/>
          <c:y val="0.3100895068152944"/>
          <c:w val="0.24034341704205645"/>
          <c:h val="0.13187174757211867"/>
        </c:manualLayout>
      </c:layout>
      <c:overlay val="0"/>
      <c:spPr>
        <a:solidFill>
          <a:schemeClr val="accent6">
            <a:lumMod val="20000"/>
            <a:lumOff val="80000"/>
          </a:schemeClr>
        </a:solidFill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Energigevinst mod tørstof, </a:t>
            </a:r>
            <a:br>
              <a:rPr lang="en-US"/>
            </a:br>
            <a:r>
              <a:rPr lang="en-US"/>
              <a:t>fortykket, ikke-udrådnet slam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5608573928258968"/>
          <c:y val="0.26784508420385328"/>
          <c:w val="0.80045603674540677"/>
          <c:h val="0.59092957130358703"/>
        </c:manualLayout>
      </c:layout>
      <c:scatterChart>
        <c:scatterStyle val="lineMarker"/>
        <c:varyColors val="0"/>
        <c:ser>
          <c:idx val="1"/>
          <c:order val="0"/>
          <c:tx>
            <c:strRef>
              <c:f>'Biomasse til RT'!$A$68</c:f>
              <c:strCache>
                <c:ptCount val="1"/>
                <c:pt idx="0">
                  <c:v>Energigevinst  til tabel 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'Biomasse til RT'!$C$68:$C$72</c:f>
              <c:numCache>
                <c:formatCode>0%</c:formatCode>
                <c:ptCount val="5"/>
                <c:pt idx="0">
                  <c:v>0.04</c:v>
                </c:pt>
                <c:pt idx="1">
                  <c:v>0.05</c:v>
                </c:pt>
                <c:pt idx="2">
                  <c:v>0.06</c:v>
                </c:pt>
                <c:pt idx="3">
                  <c:v>7.0000000000000007E-2</c:v>
                </c:pt>
                <c:pt idx="4">
                  <c:v>0.08</c:v>
                </c:pt>
              </c:numCache>
            </c:numRef>
          </c:xVal>
          <c:yVal>
            <c:numRef>
              <c:f>'Biomasse til RT'!$D$68:$D$72</c:f>
              <c:numCache>
                <c:formatCode>0.0</c:formatCode>
                <c:ptCount val="5"/>
                <c:pt idx="0">
                  <c:v>0.99464599999999592</c:v>
                </c:pt>
                <c:pt idx="1">
                  <c:v>11.2433075</c:v>
                </c:pt>
                <c:pt idx="2">
                  <c:v>21.491969000000005</c:v>
                </c:pt>
                <c:pt idx="3">
                  <c:v>31.740630500000023</c:v>
                </c:pt>
                <c:pt idx="4">
                  <c:v>41.989291999999985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6B-48B0-985B-C998ED6B2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3875584"/>
        <c:axId val="343877504"/>
      </c:scatterChart>
      <c:valAx>
        <c:axId val="343875584"/>
        <c:scaling>
          <c:orientation val="minMax"/>
          <c:min val="3.0000000000000006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tørstof %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343877504"/>
        <c:crosses val="autoZero"/>
        <c:crossBetween val="midCat"/>
      </c:valAx>
      <c:valAx>
        <c:axId val="3438775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energi kWh/ton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4387558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838175959221684"/>
          <c:y val="0.3100895068152944"/>
          <c:w val="0.24034341704205645"/>
          <c:h val="0.13187174757211867"/>
        </c:manualLayout>
      </c:layout>
      <c:overlay val="0"/>
      <c:spPr>
        <a:solidFill>
          <a:schemeClr val="accent6">
            <a:lumMod val="20000"/>
            <a:lumOff val="80000"/>
          </a:schemeClr>
        </a:solidFill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</xdr:colOff>
      <xdr:row>54</xdr:row>
      <xdr:rowOff>41274</xdr:rowOff>
    </xdr:from>
    <xdr:to>
      <xdr:col>11</xdr:col>
      <xdr:colOff>709083</xdr:colOff>
      <xdr:row>77</xdr:row>
      <xdr:rowOff>116416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54</xdr:row>
      <xdr:rowOff>0</xdr:rowOff>
    </xdr:from>
    <xdr:to>
      <xdr:col>19</xdr:col>
      <xdr:colOff>285750</xdr:colOff>
      <xdr:row>77</xdr:row>
      <xdr:rowOff>75142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2"/>
  <sheetViews>
    <sheetView tabSelected="1" zoomScale="90" zoomScaleNormal="90" workbookViewId="0">
      <selection activeCell="B51" sqref="B51"/>
    </sheetView>
  </sheetViews>
  <sheetFormatPr defaultRowHeight="11.5" x14ac:dyDescent="0.25"/>
  <cols>
    <col min="1" max="1" width="29" customWidth="1"/>
    <col min="2" max="2" width="17.08984375" bestFit="1" customWidth="1"/>
    <col min="3" max="4" width="6.453125" bestFit="1" customWidth="1"/>
    <col min="5" max="5" width="15.7265625" bestFit="1" customWidth="1"/>
    <col min="6" max="6" width="8.6328125" customWidth="1"/>
    <col min="7" max="7" width="21.26953125" bestFit="1" customWidth="1"/>
    <col min="8" max="8" width="15.08984375" bestFit="1" customWidth="1"/>
    <col min="9" max="9" width="15.08984375" customWidth="1"/>
    <col min="10" max="11" width="11.36328125" customWidth="1"/>
    <col min="12" max="12" width="18.6328125" bestFit="1" customWidth="1"/>
    <col min="13" max="13" width="15.36328125" bestFit="1" customWidth="1"/>
    <col min="14" max="15" width="15.36328125" customWidth="1"/>
    <col min="16" max="16" width="5.7265625" bestFit="1" customWidth="1"/>
    <col min="17" max="18" width="10.7265625" customWidth="1"/>
    <col min="19" max="19" width="5.7265625" bestFit="1" customWidth="1"/>
    <col min="20" max="20" width="10" bestFit="1" customWidth="1"/>
    <col min="21" max="21" width="12.08984375" customWidth="1"/>
    <col min="22" max="24" width="10" customWidth="1"/>
    <col min="25" max="25" width="10" bestFit="1" customWidth="1"/>
    <col min="26" max="26" width="12.453125" bestFit="1" customWidth="1"/>
    <col min="27" max="30" width="10" customWidth="1"/>
    <col min="31" max="31" width="14.36328125" bestFit="1" customWidth="1"/>
    <col min="32" max="32" width="14.26953125" customWidth="1"/>
  </cols>
  <sheetData>
    <row r="1" spans="1:13" x14ac:dyDescent="0.25">
      <c r="A1" s="3" t="s">
        <v>81</v>
      </c>
    </row>
    <row r="2" spans="1:13" x14ac:dyDescent="0.25">
      <c r="A2" s="3" t="s">
        <v>82</v>
      </c>
    </row>
    <row r="4" spans="1:13" x14ac:dyDescent="0.25">
      <c r="A4" s="3" t="s">
        <v>63</v>
      </c>
      <c r="B4" s="74" t="s">
        <v>162</v>
      </c>
      <c r="C4" t="s">
        <v>28</v>
      </c>
      <c r="F4" t="s">
        <v>99</v>
      </c>
    </row>
    <row r="5" spans="1:13" x14ac:dyDescent="0.25">
      <c r="A5" t="s">
        <v>8</v>
      </c>
      <c r="B5" s="13">
        <v>0.5</v>
      </c>
    </row>
    <row r="6" spans="1:13" x14ac:dyDescent="0.25">
      <c r="A6" t="s">
        <v>54</v>
      </c>
      <c r="B6" s="13">
        <v>0.2</v>
      </c>
    </row>
    <row r="7" spans="1:13" x14ac:dyDescent="0.25">
      <c r="A7" t="s">
        <v>49</v>
      </c>
      <c r="B7" s="13">
        <v>0.35</v>
      </c>
    </row>
    <row r="8" spans="1:13" x14ac:dyDescent="0.25">
      <c r="A8" t="s">
        <v>48</v>
      </c>
      <c r="B8" s="13">
        <v>0.5</v>
      </c>
    </row>
    <row r="9" spans="1:13" x14ac:dyDescent="0.25">
      <c r="A9" t="s">
        <v>55</v>
      </c>
      <c r="B9" s="12">
        <f>100%-B6</f>
        <v>0.8</v>
      </c>
    </row>
    <row r="10" spans="1:13" x14ac:dyDescent="0.25">
      <c r="A10" t="s">
        <v>58</v>
      </c>
      <c r="B10" s="13">
        <v>0.9</v>
      </c>
      <c r="F10" t="s">
        <v>157</v>
      </c>
    </row>
    <row r="11" spans="1:13" x14ac:dyDescent="0.25">
      <c r="A11" t="s">
        <v>70</v>
      </c>
      <c r="B11" s="13">
        <v>0.6</v>
      </c>
    </row>
    <row r="12" spans="1:13" x14ac:dyDescent="0.25">
      <c r="A12" t="s">
        <v>77</v>
      </c>
      <c r="B12" s="18">
        <v>25</v>
      </c>
      <c r="C12" t="s">
        <v>56</v>
      </c>
      <c r="F12" t="s">
        <v>161</v>
      </c>
      <c r="J12">
        <v>21.5</v>
      </c>
      <c r="K12" t="s">
        <v>160</v>
      </c>
      <c r="L12" s="19">
        <f>J12*4.186/3.6</f>
        <v>24.999722222222221</v>
      </c>
      <c r="M12" t="s">
        <v>93</v>
      </c>
    </row>
    <row r="13" spans="1:13" x14ac:dyDescent="0.25">
      <c r="A13" t="s">
        <v>69</v>
      </c>
      <c r="B13" s="18">
        <v>15</v>
      </c>
      <c r="C13" t="s">
        <v>56</v>
      </c>
    </row>
    <row r="14" spans="1:13" ht="13" x14ac:dyDescent="0.25">
      <c r="A14" t="s">
        <v>64</v>
      </c>
      <c r="B14" s="73">
        <v>0</v>
      </c>
      <c r="C14" t="s">
        <v>65</v>
      </c>
      <c r="F14" t="s">
        <v>153</v>
      </c>
    </row>
    <row r="15" spans="1:13" x14ac:dyDescent="0.25">
      <c r="A15" t="s">
        <v>94</v>
      </c>
      <c r="B15" s="13">
        <v>1</v>
      </c>
      <c r="F15" t="s">
        <v>96</v>
      </c>
    </row>
    <row r="16" spans="1:13" x14ac:dyDescent="0.25">
      <c r="A16" t="s">
        <v>95</v>
      </c>
      <c r="B16" s="13">
        <v>1</v>
      </c>
      <c r="F16" t="s">
        <v>155</v>
      </c>
    </row>
    <row r="17" spans="1:32" x14ac:dyDescent="0.25">
      <c r="A17" t="s">
        <v>158</v>
      </c>
      <c r="B17" s="13">
        <v>1</v>
      </c>
      <c r="F17" t="s">
        <v>156</v>
      </c>
    </row>
    <row r="19" spans="1:32" x14ac:dyDescent="0.25">
      <c r="G19" s="22" t="s">
        <v>80</v>
      </c>
      <c r="H19" s="23"/>
      <c r="I19" s="23"/>
      <c r="J19" s="25" t="s">
        <v>78</v>
      </c>
      <c r="K19" s="26"/>
      <c r="L19" s="30" t="s">
        <v>43</v>
      </c>
      <c r="M19" s="30"/>
      <c r="N19" s="32" t="s">
        <v>86</v>
      </c>
      <c r="O19" s="32"/>
      <c r="P19" s="75" t="s">
        <v>52</v>
      </c>
      <c r="Q19" s="75"/>
      <c r="R19" s="75"/>
      <c r="S19" s="76" t="s">
        <v>50</v>
      </c>
      <c r="T19" s="76"/>
      <c r="U19" s="35"/>
      <c r="V19" s="38" t="s">
        <v>92</v>
      </c>
      <c r="W19" s="38"/>
      <c r="X19" s="38"/>
      <c r="Y19" s="39" t="s">
        <v>60</v>
      </c>
      <c r="Z19" s="39" t="s">
        <v>60</v>
      </c>
      <c r="AA19" s="45" t="s">
        <v>154</v>
      </c>
      <c r="AB19" s="46"/>
      <c r="AC19" s="46"/>
      <c r="AD19" s="46"/>
      <c r="AE19" s="46"/>
      <c r="AF19" s="46"/>
    </row>
    <row r="20" spans="1:32" x14ac:dyDescent="0.25">
      <c r="G20" s="23"/>
      <c r="H20" s="23"/>
      <c r="I20" s="23"/>
      <c r="J20" s="25" t="s">
        <v>57</v>
      </c>
      <c r="K20" s="26"/>
      <c r="L20" s="30" t="s">
        <v>57</v>
      </c>
      <c r="M20" s="30"/>
      <c r="N20" s="32" t="s">
        <v>87</v>
      </c>
      <c r="O20" s="32" t="s">
        <v>88</v>
      </c>
      <c r="P20" s="41"/>
      <c r="Q20" s="41"/>
      <c r="R20" s="41"/>
      <c r="S20" s="35"/>
      <c r="T20" s="35"/>
      <c r="U20" s="34" t="s">
        <v>89</v>
      </c>
      <c r="V20" s="38"/>
      <c r="W20" s="38"/>
      <c r="X20" s="38"/>
      <c r="Y20" s="44" t="s">
        <v>61</v>
      </c>
      <c r="Z20" s="44" t="s">
        <v>62</v>
      </c>
      <c r="AA20" s="46"/>
      <c r="AB20" s="46"/>
      <c r="AC20" s="46"/>
      <c r="AD20" s="28" t="s">
        <v>61</v>
      </c>
      <c r="AE20" s="28" t="s">
        <v>62</v>
      </c>
      <c r="AF20" s="28" t="s">
        <v>62</v>
      </c>
    </row>
    <row r="21" spans="1:32" x14ac:dyDescent="0.25">
      <c r="A21" s="3" t="s">
        <v>0</v>
      </c>
      <c r="B21" s="3" t="s">
        <v>42</v>
      </c>
      <c r="C21" s="3" t="s">
        <v>1</v>
      </c>
      <c r="D21" s="3" t="s">
        <v>3</v>
      </c>
      <c r="E21" s="3" t="s">
        <v>71</v>
      </c>
      <c r="F21" s="3" t="s">
        <v>41</v>
      </c>
      <c r="G21" s="22" t="s">
        <v>71</v>
      </c>
      <c r="H21" s="22" t="s">
        <v>71</v>
      </c>
      <c r="I21" s="22" t="s">
        <v>72</v>
      </c>
      <c r="J21" s="25" t="s">
        <v>16</v>
      </c>
      <c r="K21" s="25" t="s">
        <v>16</v>
      </c>
      <c r="L21" s="30" t="s">
        <v>85</v>
      </c>
      <c r="M21" s="30" t="s">
        <v>85</v>
      </c>
      <c r="N21" s="32"/>
      <c r="O21" s="32"/>
      <c r="P21" s="42" t="s">
        <v>53</v>
      </c>
      <c r="Q21" s="42" t="s">
        <v>47</v>
      </c>
      <c r="R21" s="42" t="s">
        <v>46</v>
      </c>
      <c r="S21" s="36" t="s">
        <v>53</v>
      </c>
      <c r="T21" s="36"/>
      <c r="U21" s="32" t="s">
        <v>98</v>
      </c>
      <c r="V21" s="39" t="s">
        <v>47</v>
      </c>
      <c r="W21" s="39" t="s">
        <v>90</v>
      </c>
      <c r="X21" s="39" t="s">
        <v>91</v>
      </c>
      <c r="Y21" s="39" t="s">
        <v>59</v>
      </c>
      <c r="Z21" s="39" t="s">
        <v>59</v>
      </c>
      <c r="AA21" s="28" t="s">
        <v>47</v>
      </c>
      <c r="AB21" s="28" t="s">
        <v>90</v>
      </c>
      <c r="AC21" s="28" t="s">
        <v>91</v>
      </c>
      <c r="AD21" s="28" t="s">
        <v>59</v>
      </c>
      <c r="AE21" s="28" t="s">
        <v>59</v>
      </c>
      <c r="AF21" s="28" t="s">
        <v>59</v>
      </c>
    </row>
    <row r="22" spans="1:32" s="21" customFormat="1" ht="25.5" customHeight="1" x14ac:dyDescent="0.25">
      <c r="A22" s="20"/>
      <c r="B22" s="20" t="s">
        <v>44</v>
      </c>
      <c r="C22" s="20" t="s">
        <v>2</v>
      </c>
      <c r="D22" s="20" t="s">
        <v>2</v>
      </c>
      <c r="E22" s="20" t="s">
        <v>66</v>
      </c>
      <c r="F22" s="20"/>
      <c r="G22" s="24" t="s">
        <v>67</v>
      </c>
      <c r="H22" s="24" t="s">
        <v>68</v>
      </c>
      <c r="I22" s="24" t="s">
        <v>79</v>
      </c>
      <c r="J22" s="27" t="s">
        <v>84</v>
      </c>
      <c r="K22" s="27" t="s">
        <v>83</v>
      </c>
      <c r="L22" s="31" t="s">
        <v>4</v>
      </c>
      <c r="M22" s="31" t="s">
        <v>45</v>
      </c>
      <c r="N22" s="33" t="s">
        <v>45</v>
      </c>
      <c r="O22" s="33" t="s">
        <v>45</v>
      </c>
      <c r="P22" s="43" t="s">
        <v>2</v>
      </c>
      <c r="Q22" s="43" t="s">
        <v>45</v>
      </c>
      <c r="R22" s="43" t="s">
        <v>45</v>
      </c>
      <c r="S22" s="37" t="s">
        <v>2</v>
      </c>
      <c r="T22" s="37" t="s">
        <v>45</v>
      </c>
      <c r="U22" s="33" t="s">
        <v>45</v>
      </c>
      <c r="V22" s="40" t="s">
        <v>45</v>
      </c>
      <c r="W22" s="40" t="s">
        <v>45</v>
      </c>
      <c r="X22" s="40" t="s">
        <v>45</v>
      </c>
      <c r="Y22" s="40" t="s">
        <v>45</v>
      </c>
      <c r="Z22" s="40" t="s">
        <v>45</v>
      </c>
      <c r="AA22" s="29" t="s">
        <v>45</v>
      </c>
      <c r="AB22" s="29" t="s">
        <v>45</v>
      </c>
      <c r="AC22" s="29" t="s">
        <v>45</v>
      </c>
      <c r="AD22" s="29" t="s">
        <v>45</v>
      </c>
      <c r="AE22" s="29" t="s">
        <v>45</v>
      </c>
      <c r="AF22" s="47" t="s">
        <v>4</v>
      </c>
    </row>
    <row r="23" spans="1:32" x14ac:dyDescent="0.25">
      <c r="A23" t="s">
        <v>164</v>
      </c>
      <c r="B23" s="15">
        <v>1</v>
      </c>
      <c r="C23" s="13">
        <v>0.06</v>
      </c>
      <c r="D23" s="13">
        <v>0.7</v>
      </c>
      <c r="E23" s="14">
        <v>330</v>
      </c>
      <c r="F23">
        <v>1</v>
      </c>
      <c r="G23" s="2">
        <f>+C23*D23*E23</f>
        <v>13.86</v>
      </c>
      <c r="H23" s="15">
        <f>+B23*G23</f>
        <v>13.86</v>
      </c>
      <c r="I23" s="15">
        <f>+H23/$B$11</f>
        <v>23.1</v>
      </c>
      <c r="J23" s="19">
        <f>G23*$B$5</f>
        <v>6.93</v>
      </c>
      <c r="K23" s="15">
        <f>J23*B23</f>
        <v>6.93</v>
      </c>
      <c r="L23" s="2">
        <f>+G23*$B$5*Energikilde!$D$4</f>
        <v>69.092100000000002</v>
      </c>
      <c r="M23" s="15">
        <f>+B23*L23</f>
        <v>69.092100000000002</v>
      </c>
      <c r="N23" s="15">
        <f>-$B23*$B$12</f>
        <v>-25</v>
      </c>
      <c r="O23" s="15">
        <f>-$B23*$B$13</f>
        <v>-15</v>
      </c>
      <c r="P23" s="12">
        <f>+$B$6</f>
        <v>0.2</v>
      </c>
      <c r="Q23" s="15">
        <f t="shared" ref="Q23:Q42" si="0">+M23*$B$8*P23</f>
        <v>6.9092100000000007</v>
      </c>
      <c r="R23" s="15">
        <f t="shared" ref="R23:R42" si="1">+M23*$B$7*P23</f>
        <v>4.8364469999999997</v>
      </c>
      <c r="S23" s="12">
        <f>+$B$9</f>
        <v>0.8</v>
      </c>
      <c r="T23" s="15">
        <f t="shared" ref="T23:T42" si="2">+M23*$B$10*S23</f>
        <v>49.746312000000003</v>
      </c>
      <c r="U23" s="15">
        <f t="shared" ref="U23:U42" si="3">-K23*$B$14*S23</f>
        <v>0</v>
      </c>
      <c r="V23" s="15">
        <f t="shared" ref="V23:V42" si="4">Q23+N23</f>
        <v>-18.090789999999998</v>
      </c>
      <c r="W23" s="15">
        <f t="shared" ref="W23:W42" si="5">R23+O23+U23</f>
        <v>-10.163553</v>
      </c>
      <c r="X23" s="15">
        <f>T23</f>
        <v>49.746312000000003</v>
      </c>
      <c r="Y23" s="15">
        <f>W23+X23</f>
        <v>39.582759000000003</v>
      </c>
      <c r="Z23" s="15">
        <f>SUM(V23:X23)</f>
        <v>21.491969000000005</v>
      </c>
      <c r="AA23" s="15">
        <f>V23*$B$16</f>
        <v>-18.090789999999998</v>
      </c>
      <c r="AB23" s="15">
        <f>W23*$B$15</f>
        <v>-10.163553</v>
      </c>
      <c r="AC23" s="15">
        <f>X23*$B$17</f>
        <v>49.746312000000003</v>
      </c>
      <c r="AD23" s="15">
        <f>AB23+AC23</f>
        <v>39.582759000000003</v>
      </c>
      <c r="AE23" s="15">
        <f>SUM(AA23:AC23)</f>
        <v>21.491969000000005</v>
      </c>
      <c r="AF23" s="2">
        <f>AE23/$B23</f>
        <v>21.491969000000005</v>
      </c>
    </row>
    <row r="24" spans="1:32" x14ac:dyDescent="0.25">
      <c r="A24" t="s">
        <v>5</v>
      </c>
      <c r="B24" s="15">
        <v>1</v>
      </c>
      <c r="C24" s="13">
        <v>0.3</v>
      </c>
      <c r="D24" s="13">
        <v>0.85</v>
      </c>
      <c r="E24" s="14">
        <v>340</v>
      </c>
      <c r="F24">
        <v>2</v>
      </c>
      <c r="G24" s="2">
        <f t="shared" ref="G24:G26" si="6">+C24*D24*E24</f>
        <v>86.7</v>
      </c>
      <c r="H24" s="15">
        <f t="shared" ref="H24:H42" si="7">+B24*G24</f>
        <v>86.7</v>
      </c>
      <c r="I24" s="15">
        <f t="shared" ref="I24:I26" si="8">+H24/$B$11</f>
        <v>144.5</v>
      </c>
      <c r="J24" s="19">
        <f t="shared" ref="J24:J42" si="9">G24*$B$5</f>
        <v>43.35</v>
      </c>
      <c r="K24" s="15">
        <f t="shared" ref="K24:K42" si="10">J24*B24</f>
        <v>43.35</v>
      </c>
      <c r="L24" s="2">
        <f>+G24*$B$5*Energikilde!$D$4</f>
        <v>432.19950000000006</v>
      </c>
      <c r="M24" s="15">
        <f t="shared" ref="M24:M42" si="11">+B24*L24</f>
        <v>432.19950000000006</v>
      </c>
      <c r="N24" s="15">
        <f t="shared" ref="N24:N42" si="12">-$B24*$B$12</f>
        <v>-25</v>
      </c>
      <c r="O24" s="15">
        <f t="shared" ref="O24:O42" si="13">-$B24*$B$13</f>
        <v>-15</v>
      </c>
      <c r="P24" s="12">
        <f t="shared" ref="P24:P42" si="14">+$B$6</f>
        <v>0.2</v>
      </c>
      <c r="Q24" s="15">
        <f t="shared" si="0"/>
        <v>43.219950000000011</v>
      </c>
      <c r="R24" s="15">
        <f t="shared" si="1"/>
        <v>30.253965000000001</v>
      </c>
      <c r="S24" s="12">
        <f t="shared" ref="S24:S42" si="15">+$B$9</f>
        <v>0.8</v>
      </c>
      <c r="T24" s="15">
        <f t="shared" si="2"/>
        <v>311.18364000000008</v>
      </c>
      <c r="U24" s="15">
        <f t="shared" si="3"/>
        <v>0</v>
      </c>
      <c r="V24" s="15">
        <f t="shared" si="4"/>
        <v>18.219950000000011</v>
      </c>
      <c r="W24" s="15">
        <f t="shared" si="5"/>
        <v>15.253965000000001</v>
      </c>
      <c r="X24" s="15">
        <f t="shared" ref="X24:X42" si="16">T24</f>
        <v>311.18364000000008</v>
      </c>
      <c r="Y24" s="15">
        <f t="shared" ref="Y24:Y42" si="17">W24+X24</f>
        <v>326.43760500000008</v>
      </c>
      <c r="Z24" s="15">
        <f t="shared" ref="Z24:Z42" si="18">SUM(V24:X24)</f>
        <v>344.65755500000012</v>
      </c>
      <c r="AA24" s="15">
        <f t="shared" ref="AA24:AA42" si="19">V24*$B$16</f>
        <v>18.219950000000011</v>
      </c>
      <c r="AB24" s="15">
        <f t="shared" ref="AB24:AB42" si="20">W24*$B$15</f>
        <v>15.253965000000001</v>
      </c>
      <c r="AC24" s="15">
        <f t="shared" ref="AC24:AC42" si="21">X24*$B$17</f>
        <v>311.18364000000008</v>
      </c>
      <c r="AD24" s="15">
        <f t="shared" ref="AD24:AD42" si="22">AB24+AC24</f>
        <v>326.43760500000008</v>
      </c>
      <c r="AE24" s="15">
        <f t="shared" ref="AE24:AE42" si="23">SUM(AA24:AC24)</f>
        <v>344.65755500000012</v>
      </c>
      <c r="AF24" s="11">
        <f t="shared" ref="AF24:AF42" si="24">AE24/$B24</f>
        <v>344.65755500000012</v>
      </c>
    </row>
    <row r="25" spans="1:32" x14ac:dyDescent="0.25">
      <c r="A25" t="s">
        <v>6</v>
      </c>
      <c r="B25" s="15">
        <v>1</v>
      </c>
      <c r="C25" s="13">
        <v>0.3</v>
      </c>
      <c r="D25" s="13">
        <v>0.9</v>
      </c>
      <c r="E25" s="14">
        <v>175</v>
      </c>
      <c r="F25">
        <v>2</v>
      </c>
      <c r="G25" s="2">
        <f t="shared" si="6"/>
        <v>47.25</v>
      </c>
      <c r="H25" s="15">
        <f t="shared" si="7"/>
        <v>47.25</v>
      </c>
      <c r="I25" s="15">
        <f t="shared" si="8"/>
        <v>78.75</v>
      </c>
      <c r="J25" s="19">
        <f t="shared" si="9"/>
        <v>23.625</v>
      </c>
      <c r="K25" s="15">
        <f t="shared" si="10"/>
        <v>23.625</v>
      </c>
      <c r="L25" s="2">
        <f>+G25*$B$5*Energikilde!$D$4</f>
        <v>235.54125000000002</v>
      </c>
      <c r="M25" s="15">
        <f t="shared" si="11"/>
        <v>235.54125000000002</v>
      </c>
      <c r="N25" s="15">
        <f t="shared" si="12"/>
        <v>-25</v>
      </c>
      <c r="O25" s="15">
        <f t="shared" si="13"/>
        <v>-15</v>
      </c>
      <c r="P25" s="12">
        <f t="shared" si="14"/>
        <v>0.2</v>
      </c>
      <c r="Q25" s="15">
        <f t="shared" si="0"/>
        <v>23.554125000000003</v>
      </c>
      <c r="R25" s="15">
        <f t="shared" si="1"/>
        <v>16.487887499999999</v>
      </c>
      <c r="S25" s="12">
        <f t="shared" si="15"/>
        <v>0.8</v>
      </c>
      <c r="T25" s="15">
        <f t="shared" si="2"/>
        <v>169.58970000000002</v>
      </c>
      <c r="U25" s="15">
        <f t="shared" si="3"/>
        <v>0</v>
      </c>
      <c r="V25" s="15">
        <f t="shared" si="4"/>
        <v>-1.4458749999999974</v>
      </c>
      <c r="W25" s="15">
        <f t="shared" si="5"/>
        <v>1.4878874999999994</v>
      </c>
      <c r="X25" s="15">
        <f t="shared" si="16"/>
        <v>169.58970000000002</v>
      </c>
      <c r="Y25" s="15">
        <f t="shared" si="17"/>
        <v>171.07758750000002</v>
      </c>
      <c r="Z25" s="15">
        <f t="shared" si="18"/>
        <v>169.63171250000002</v>
      </c>
      <c r="AA25" s="15">
        <f t="shared" si="19"/>
        <v>-1.4458749999999974</v>
      </c>
      <c r="AB25" s="15">
        <f t="shared" si="20"/>
        <v>1.4878874999999994</v>
      </c>
      <c r="AC25" s="15">
        <f t="shared" si="21"/>
        <v>169.58970000000002</v>
      </c>
      <c r="AD25" s="15">
        <f t="shared" si="22"/>
        <v>171.07758750000002</v>
      </c>
      <c r="AE25" s="15">
        <f t="shared" si="23"/>
        <v>169.63171250000002</v>
      </c>
      <c r="AF25" s="11">
        <f t="shared" si="24"/>
        <v>169.63171250000002</v>
      </c>
    </row>
    <row r="26" spans="1:32" x14ac:dyDescent="0.25">
      <c r="A26" t="s">
        <v>7</v>
      </c>
      <c r="B26" s="15">
        <v>1</v>
      </c>
      <c r="C26" s="13">
        <v>0.25</v>
      </c>
      <c r="D26" s="13">
        <v>0.9</v>
      </c>
      <c r="E26" s="14">
        <v>245</v>
      </c>
      <c r="F26">
        <v>2</v>
      </c>
      <c r="G26" s="2">
        <f t="shared" si="6"/>
        <v>55.125</v>
      </c>
      <c r="H26" s="15">
        <f t="shared" si="7"/>
        <v>55.125</v>
      </c>
      <c r="I26" s="15">
        <f t="shared" si="8"/>
        <v>91.875</v>
      </c>
      <c r="J26" s="19">
        <f t="shared" si="9"/>
        <v>27.5625</v>
      </c>
      <c r="K26" s="15">
        <f t="shared" si="10"/>
        <v>27.5625</v>
      </c>
      <c r="L26" s="2">
        <f>+G26*$B$5*Energikilde!$D$4</f>
        <v>274.79812500000003</v>
      </c>
      <c r="M26" s="15">
        <f t="shared" si="11"/>
        <v>274.79812500000003</v>
      </c>
      <c r="N26" s="15">
        <f t="shared" si="12"/>
        <v>-25</v>
      </c>
      <c r="O26" s="15">
        <f t="shared" si="13"/>
        <v>-15</v>
      </c>
      <c r="P26" s="12">
        <f t="shared" si="14"/>
        <v>0.2</v>
      </c>
      <c r="Q26" s="15">
        <f t="shared" si="0"/>
        <v>27.479812500000005</v>
      </c>
      <c r="R26" s="15">
        <f t="shared" si="1"/>
        <v>19.235868750000002</v>
      </c>
      <c r="S26" s="12">
        <f t="shared" si="15"/>
        <v>0.8</v>
      </c>
      <c r="T26" s="15">
        <f t="shared" si="2"/>
        <v>197.85465000000002</v>
      </c>
      <c r="U26" s="15">
        <f t="shared" si="3"/>
        <v>0</v>
      </c>
      <c r="V26" s="15">
        <f t="shared" si="4"/>
        <v>2.4798125000000049</v>
      </c>
      <c r="W26" s="15">
        <f t="shared" si="5"/>
        <v>4.2358687500000016</v>
      </c>
      <c r="X26" s="15">
        <f t="shared" si="16"/>
        <v>197.85465000000002</v>
      </c>
      <c r="Y26" s="15">
        <f t="shared" si="17"/>
        <v>202.09051875000003</v>
      </c>
      <c r="Z26" s="15">
        <f t="shared" si="18"/>
        <v>204.57033125000004</v>
      </c>
      <c r="AA26" s="15">
        <f t="shared" si="19"/>
        <v>2.4798125000000049</v>
      </c>
      <c r="AB26" s="15">
        <f t="shared" si="20"/>
        <v>4.2358687500000016</v>
      </c>
      <c r="AC26" s="15">
        <f t="shared" si="21"/>
        <v>197.85465000000002</v>
      </c>
      <c r="AD26" s="15">
        <f t="shared" si="22"/>
        <v>202.09051875000003</v>
      </c>
      <c r="AE26" s="15">
        <f t="shared" si="23"/>
        <v>204.57033125000004</v>
      </c>
      <c r="AF26" s="11">
        <f t="shared" si="24"/>
        <v>204.57033125000004</v>
      </c>
    </row>
    <row r="27" spans="1:32" x14ac:dyDescent="0.25">
      <c r="A27" t="s">
        <v>32</v>
      </c>
      <c r="B27" s="15">
        <v>1</v>
      </c>
      <c r="C27" s="13">
        <v>0.1</v>
      </c>
      <c r="D27" s="13">
        <v>0.95</v>
      </c>
      <c r="E27" s="14">
        <v>600</v>
      </c>
      <c r="F27">
        <v>3</v>
      </c>
      <c r="G27" s="2">
        <f t="shared" ref="G27:G42" si="25">+C27*D27*E27</f>
        <v>57</v>
      </c>
      <c r="H27" s="15">
        <f t="shared" si="7"/>
        <v>57</v>
      </c>
      <c r="I27" s="15">
        <f t="shared" ref="I27:I42" si="26">+H27/$B$11</f>
        <v>95</v>
      </c>
      <c r="J27" s="19">
        <f t="shared" si="9"/>
        <v>28.5</v>
      </c>
      <c r="K27" s="15">
        <f t="shared" si="10"/>
        <v>28.5</v>
      </c>
      <c r="L27" s="2">
        <f>+G27*$B$5*Energikilde!$D$4</f>
        <v>284.14500000000004</v>
      </c>
      <c r="M27" s="15">
        <f t="shared" si="11"/>
        <v>284.14500000000004</v>
      </c>
      <c r="N27" s="15">
        <f t="shared" si="12"/>
        <v>-25</v>
      </c>
      <c r="O27" s="15">
        <f t="shared" si="13"/>
        <v>-15</v>
      </c>
      <c r="P27" s="12">
        <f t="shared" si="14"/>
        <v>0.2</v>
      </c>
      <c r="Q27" s="15">
        <f t="shared" si="0"/>
        <v>28.414500000000004</v>
      </c>
      <c r="R27" s="15">
        <f t="shared" si="1"/>
        <v>19.890150000000006</v>
      </c>
      <c r="S27" s="12">
        <f t="shared" si="15"/>
        <v>0.8</v>
      </c>
      <c r="T27" s="15">
        <f t="shared" si="2"/>
        <v>204.58440000000004</v>
      </c>
      <c r="U27" s="15">
        <f t="shared" si="3"/>
        <v>0</v>
      </c>
      <c r="V27" s="15">
        <f t="shared" si="4"/>
        <v>3.4145000000000039</v>
      </c>
      <c r="W27" s="15">
        <f t="shared" si="5"/>
        <v>4.8901500000000055</v>
      </c>
      <c r="X27" s="15">
        <f t="shared" si="16"/>
        <v>204.58440000000004</v>
      </c>
      <c r="Y27" s="15">
        <f t="shared" si="17"/>
        <v>209.47455000000005</v>
      </c>
      <c r="Z27" s="15">
        <f t="shared" si="18"/>
        <v>212.88905000000005</v>
      </c>
      <c r="AA27" s="15">
        <f t="shared" si="19"/>
        <v>3.4145000000000039</v>
      </c>
      <c r="AB27" s="15">
        <f t="shared" si="20"/>
        <v>4.8901500000000055</v>
      </c>
      <c r="AC27" s="15">
        <f t="shared" si="21"/>
        <v>204.58440000000004</v>
      </c>
      <c r="AD27" s="15">
        <f t="shared" si="22"/>
        <v>209.47455000000005</v>
      </c>
      <c r="AE27" s="15">
        <f t="shared" si="23"/>
        <v>212.88905000000005</v>
      </c>
      <c r="AF27" s="11">
        <f t="shared" si="24"/>
        <v>212.88905000000005</v>
      </c>
    </row>
    <row r="28" spans="1:32" x14ac:dyDescent="0.25">
      <c r="A28" t="s">
        <v>33</v>
      </c>
      <c r="B28" s="15">
        <v>1</v>
      </c>
      <c r="C28" s="13">
        <v>0.13</v>
      </c>
      <c r="D28" s="13">
        <v>0.9</v>
      </c>
      <c r="E28" s="14">
        <v>600</v>
      </c>
      <c r="F28">
        <v>3</v>
      </c>
      <c r="G28">
        <f t="shared" si="25"/>
        <v>70.2</v>
      </c>
      <c r="H28" s="15">
        <f t="shared" si="7"/>
        <v>70.2</v>
      </c>
      <c r="I28" s="15">
        <f t="shared" si="26"/>
        <v>117.00000000000001</v>
      </c>
      <c r="J28" s="19">
        <f t="shared" si="9"/>
        <v>35.1</v>
      </c>
      <c r="K28" s="15">
        <f t="shared" si="10"/>
        <v>35.1</v>
      </c>
      <c r="L28" s="2">
        <f>+G28*$B$5*Energikilde!$D$4</f>
        <v>349.94700000000006</v>
      </c>
      <c r="M28" s="15">
        <f t="shared" si="11"/>
        <v>349.94700000000006</v>
      </c>
      <c r="N28" s="15">
        <f t="shared" si="12"/>
        <v>-25</v>
      </c>
      <c r="O28" s="15">
        <f t="shared" si="13"/>
        <v>-15</v>
      </c>
      <c r="P28" s="12">
        <f t="shared" si="14"/>
        <v>0.2</v>
      </c>
      <c r="Q28" s="15">
        <f t="shared" si="0"/>
        <v>34.994700000000009</v>
      </c>
      <c r="R28" s="15">
        <f t="shared" si="1"/>
        <v>24.496290000000002</v>
      </c>
      <c r="S28" s="12">
        <f t="shared" si="15"/>
        <v>0.8</v>
      </c>
      <c r="T28" s="15">
        <f t="shared" si="2"/>
        <v>251.96184000000005</v>
      </c>
      <c r="U28" s="15">
        <f t="shared" si="3"/>
        <v>0</v>
      </c>
      <c r="V28" s="15">
        <f t="shared" si="4"/>
        <v>9.9947000000000088</v>
      </c>
      <c r="W28" s="15">
        <f t="shared" si="5"/>
        <v>9.4962900000000019</v>
      </c>
      <c r="X28" s="15">
        <f t="shared" si="16"/>
        <v>251.96184000000005</v>
      </c>
      <c r="Y28" s="15">
        <f t="shared" si="17"/>
        <v>261.45813000000004</v>
      </c>
      <c r="Z28" s="15">
        <f t="shared" si="18"/>
        <v>271.45283000000006</v>
      </c>
      <c r="AA28" s="15">
        <f t="shared" si="19"/>
        <v>9.9947000000000088</v>
      </c>
      <c r="AB28" s="15">
        <f t="shared" si="20"/>
        <v>9.4962900000000019</v>
      </c>
      <c r="AC28" s="15">
        <f t="shared" si="21"/>
        <v>251.96184000000005</v>
      </c>
      <c r="AD28" s="15">
        <f t="shared" si="22"/>
        <v>261.45813000000004</v>
      </c>
      <c r="AE28" s="15">
        <f t="shared" si="23"/>
        <v>271.45283000000006</v>
      </c>
      <c r="AF28" s="11">
        <f t="shared" si="24"/>
        <v>271.45283000000006</v>
      </c>
    </row>
    <row r="29" spans="1:32" x14ac:dyDescent="0.25">
      <c r="A29" t="s">
        <v>34</v>
      </c>
      <c r="B29" s="15">
        <v>1</v>
      </c>
      <c r="C29" s="13">
        <v>0.15</v>
      </c>
      <c r="D29" s="13">
        <v>0.9</v>
      </c>
      <c r="E29" s="14">
        <v>121</v>
      </c>
      <c r="F29">
        <v>3</v>
      </c>
      <c r="G29" s="2">
        <f t="shared" si="25"/>
        <v>16.335000000000001</v>
      </c>
      <c r="H29" s="15">
        <f t="shared" si="7"/>
        <v>16.335000000000001</v>
      </c>
      <c r="I29" s="15">
        <f t="shared" si="26"/>
        <v>27.225000000000001</v>
      </c>
      <c r="J29" s="19">
        <f t="shared" si="9"/>
        <v>8.1675000000000004</v>
      </c>
      <c r="K29" s="15">
        <f t="shared" si="10"/>
        <v>8.1675000000000004</v>
      </c>
      <c r="L29" s="2">
        <f>+G29*$B$5*Energikilde!$D$4</f>
        <v>81.429975000000013</v>
      </c>
      <c r="M29" s="15">
        <f t="shared" si="11"/>
        <v>81.429975000000013</v>
      </c>
      <c r="N29" s="15">
        <f t="shared" si="12"/>
        <v>-25</v>
      </c>
      <c r="O29" s="15">
        <f t="shared" si="13"/>
        <v>-15</v>
      </c>
      <c r="P29" s="12">
        <f t="shared" si="14"/>
        <v>0.2</v>
      </c>
      <c r="Q29" s="15">
        <f t="shared" si="0"/>
        <v>8.1429975000000017</v>
      </c>
      <c r="R29" s="15">
        <f t="shared" si="1"/>
        <v>5.7000982500000008</v>
      </c>
      <c r="S29" s="12">
        <f t="shared" si="15"/>
        <v>0.8</v>
      </c>
      <c r="T29" s="15">
        <f t="shared" si="2"/>
        <v>58.629582000000021</v>
      </c>
      <c r="U29" s="15">
        <f t="shared" si="3"/>
        <v>0</v>
      </c>
      <c r="V29" s="15">
        <f t="shared" si="4"/>
        <v>-16.8570025</v>
      </c>
      <c r="W29" s="15">
        <f t="shared" si="5"/>
        <v>-9.2999017500000001</v>
      </c>
      <c r="X29" s="15">
        <f t="shared" si="16"/>
        <v>58.629582000000021</v>
      </c>
      <c r="Y29" s="15">
        <f t="shared" si="17"/>
        <v>49.329680250000024</v>
      </c>
      <c r="Z29" s="15">
        <f t="shared" si="18"/>
        <v>32.472677750000017</v>
      </c>
      <c r="AA29" s="15">
        <f t="shared" si="19"/>
        <v>-16.8570025</v>
      </c>
      <c r="AB29" s="15">
        <f t="shared" si="20"/>
        <v>-9.2999017500000001</v>
      </c>
      <c r="AC29" s="15">
        <f t="shared" si="21"/>
        <v>58.629582000000021</v>
      </c>
      <c r="AD29" s="15">
        <f t="shared" si="22"/>
        <v>49.329680250000024</v>
      </c>
      <c r="AE29" s="15">
        <f t="shared" si="23"/>
        <v>32.472677750000017</v>
      </c>
      <c r="AF29" s="2">
        <f t="shared" si="24"/>
        <v>32.472677750000017</v>
      </c>
    </row>
    <row r="30" spans="1:32" x14ac:dyDescent="0.25">
      <c r="A30" t="s">
        <v>35</v>
      </c>
      <c r="B30" s="15">
        <v>1</v>
      </c>
      <c r="C30" s="13">
        <v>0.14000000000000001</v>
      </c>
      <c r="D30" s="13">
        <v>0.9</v>
      </c>
      <c r="E30" s="14">
        <v>400</v>
      </c>
      <c r="F30">
        <v>3</v>
      </c>
      <c r="G30">
        <f t="shared" si="25"/>
        <v>50.400000000000013</v>
      </c>
      <c r="H30" s="15">
        <f t="shared" si="7"/>
        <v>50.400000000000013</v>
      </c>
      <c r="I30" s="15">
        <f t="shared" si="26"/>
        <v>84.000000000000028</v>
      </c>
      <c r="J30" s="19">
        <f t="shared" si="9"/>
        <v>25.200000000000006</v>
      </c>
      <c r="K30" s="15">
        <f t="shared" si="10"/>
        <v>25.200000000000006</v>
      </c>
      <c r="L30" s="2">
        <f>+G30*$B$5*Energikilde!$D$4</f>
        <v>251.24400000000009</v>
      </c>
      <c r="M30" s="15">
        <f t="shared" si="11"/>
        <v>251.24400000000009</v>
      </c>
      <c r="N30" s="15">
        <f t="shared" si="12"/>
        <v>-25</v>
      </c>
      <c r="O30" s="15">
        <f t="shared" si="13"/>
        <v>-15</v>
      </c>
      <c r="P30" s="12">
        <f t="shared" si="14"/>
        <v>0.2</v>
      </c>
      <c r="Q30" s="15">
        <f t="shared" si="0"/>
        <v>25.124400000000009</v>
      </c>
      <c r="R30" s="15">
        <f t="shared" si="1"/>
        <v>17.587080000000007</v>
      </c>
      <c r="S30" s="12">
        <f t="shared" si="15"/>
        <v>0.8</v>
      </c>
      <c r="T30" s="15">
        <f t="shared" si="2"/>
        <v>180.89568000000008</v>
      </c>
      <c r="U30" s="15">
        <f t="shared" si="3"/>
        <v>0</v>
      </c>
      <c r="V30" s="15">
        <f t="shared" si="4"/>
        <v>0.1244000000000085</v>
      </c>
      <c r="W30" s="15">
        <f t="shared" si="5"/>
        <v>2.5870800000000074</v>
      </c>
      <c r="X30" s="15">
        <f t="shared" si="16"/>
        <v>180.89568000000008</v>
      </c>
      <c r="Y30" s="15">
        <f t="shared" si="17"/>
        <v>183.4827600000001</v>
      </c>
      <c r="Z30" s="15">
        <f t="shared" si="18"/>
        <v>183.60716000000011</v>
      </c>
      <c r="AA30" s="15">
        <f t="shared" si="19"/>
        <v>0.1244000000000085</v>
      </c>
      <c r="AB30" s="15">
        <f t="shared" si="20"/>
        <v>2.5870800000000074</v>
      </c>
      <c r="AC30" s="15">
        <f t="shared" si="21"/>
        <v>180.89568000000008</v>
      </c>
      <c r="AD30" s="15">
        <f t="shared" si="22"/>
        <v>183.4827600000001</v>
      </c>
      <c r="AE30" s="15">
        <f t="shared" si="23"/>
        <v>183.60716000000011</v>
      </c>
      <c r="AF30" s="11">
        <f t="shared" si="24"/>
        <v>183.60716000000011</v>
      </c>
    </row>
    <row r="31" spans="1:32" x14ac:dyDescent="0.25">
      <c r="A31" t="s">
        <v>36</v>
      </c>
      <c r="B31" s="15">
        <v>1</v>
      </c>
      <c r="C31" s="13">
        <v>0.87</v>
      </c>
      <c r="D31" s="13">
        <v>0.95</v>
      </c>
      <c r="E31" s="14">
        <v>500</v>
      </c>
      <c r="F31">
        <v>3</v>
      </c>
      <c r="G31" s="11">
        <f t="shared" si="25"/>
        <v>413.25</v>
      </c>
      <c r="H31" s="15">
        <f t="shared" si="7"/>
        <v>413.25</v>
      </c>
      <c r="I31" s="15">
        <f t="shared" si="26"/>
        <v>688.75</v>
      </c>
      <c r="J31" s="19">
        <f t="shared" si="9"/>
        <v>206.625</v>
      </c>
      <c r="K31" s="15">
        <f t="shared" si="10"/>
        <v>206.625</v>
      </c>
      <c r="L31" s="2">
        <f>+G31*$B$5*Energikilde!$D$4</f>
        <v>2060.05125</v>
      </c>
      <c r="M31" s="15">
        <f t="shared" si="11"/>
        <v>2060.05125</v>
      </c>
      <c r="N31" s="15">
        <f t="shared" si="12"/>
        <v>-25</v>
      </c>
      <c r="O31" s="15">
        <f t="shared" si="13"/>
        <v>-15</v>
      </c>
      <c r="P31" s="12">
        <f t="shared" si="14"/>
        <v>0.2</v>
      </c>
      <c r="Q31" s="15">
        <f t="shared" si="0"/>
        <v>206.00512500000002</v>
      </c>
      <c r="R31" s="15">
        <f t="shared" si="1"/>
        <v>144.2035875</v>
      </c>
      <c r="S31" s="12">
        <f t="shared" si="15"/>
        <v>0.8</v>
      </c>
      <c r="T31" s="15">
        <f t="shared" si="2"/>
        <v>1483.2369000000001</v>
      </c>
      <c r="U31" s="15">
        <f t="shared" si="3"/>
        <v>0</v>
      </c>
      <c r="V31" s="15">
        <f t="shared" si="4"/>
        <v>181.00512500000002</v>
      </c>
      <c r="W31" s="15">
        <f t="shared" si="5"/>
        <v>129.2035875</v>
      </c>
      <c r="X31" s="15">
        <f t="shared" si="16"/>
        <v>1483.2369000000001</v>
      </c>
      <c r="Y31" s="15">
        <f t="shared" si="17"/>
        <v>1612.4404875</v>
      </c>
      <c r="Z31" s="15">
        <f t="shared" si="18"/>
        <v>1793.4456125000002</v>
      </c>
      <c r="AA31" s="15">
        <f t="shared" si="19"/>
        <v>181.00512500000002</v>
      </c>
      <c r="AB31" s="15">
        <f t="shared" si="20"/>
        <v>129.2035875</v>
      </c>
      <c r="AC31" s="15">
        <f t="shared" si="21"/>
        <v>1483.2369000000001</v>
      </c>
      <c r="AD31" s="15">
        <f t="shared" si="22"/>
        <v>1612.4404875</v>
      </c>
      <c r="AE31" s="15">
        <f t="shared" si="23"/>
        <v>1793.4456125000002</v>
      </c>
      <c r="AF31" s="15">
        <f t="shared" si="24"/>
        <v>1793.4456125000002</v>
      </c>
    </row>
    <row r="32" spans="1:32" x14ac:dyDescent="0.25">
      <c r="A32" t="s">
        <v>40</v>
      </c>
      <c r="B32" s="15">
        <v>1</v>
      </c>
      <c r="C32" s="13">
        <v>0.15</v>
      </c>
      <c r="D32" s="13">
        <v>0.95</v>
      </c>
      <c r="E32" s="14">
        <v>470</v>
      </c>
      <c r="F32">
        <v>3</v>
      </c>
      <c r="G32" s="2">
        <f t="shared" si="25"/>
        <v>66.974999999999994</v>
      </c>
      <c r="H32" s="15">
        <f t="shared" si="7"/>
        <v>66.974999999999994</v>
      </c>
      <c r="I32" s="15">
        <f t="shared" si="26"/>
        <v>111.625</v>
      </c>
      <c r="J32" s="19">
        <f t="shared" si="9"/>
        <v>33.487499999999997</v>
      </c>
      <c r="K32" s="15">
        <f t="shared" si="10"/>
        <v>33.487499999999997</v>
      </c>
      <c r="L32" s="2">
        <f>+G32*$B$5*Energikilde!$D$4</f>
        <v>333.87037499999997</v>
      </c>
      <c r="M32" s="15">
        <f t="shared" si="11"/>
        <v>333.87037499999997</v>
      </c>
      <c r="N32" s="15">
        <f t="shared" si="12"/>
        <v>-25</v>
      </c>
      <c r="O32" s="15">
        <f t="shared" si="13"/>
        <v>-15</v>
      </c>
      <c r="P32" s="12">
        <f t="shared" si="14"/>
        <v>0.2</v>
      </c>
      <c r="Q32" s="15">
        <f t="shared" si="0"/>
        <v>33.387037499999998</v>
      </c>
      <c r="R32" s="15">
        <f t="shared" si="1"/>
        <v>23.370926249999997</v>
      </c>
      <c r="S32" s="12">
        <f t="shared" si="15"/>
        <v>0.8</v>
      </c>
      <c r="T32" s="15">
        <f t="shared" si="2"/>
        <v>240.38667000000001</v>
      </c>
      <c r="U32" s="15">
        <f t="shared" si="3"/>
        <v>0</v>
      </c>
      <c r="V32" s="15">
        <f t="shared" si="4"/>
        <v>8.3870374999999981</v>
      </c>
      <c r="W32" s="15">
        <f t="shared" si="5"/>
        <v>8.3709262499999966</v>
      </c>
      <c r="X32" s="15">
        <f t="shared" si="16"/>
        <v>240.38667000000001</v>
      </c>
      <c r="Y32" s="15">
        <f t="shared" si="17"/>
        <v>248.75759625000001</v>
      </c>
      <c r="Z32" s="15">
        <f t="shared" si="18"/>
        <v>257.14463375000003</v>
      </c>
      <c r="AA32" s="15">
        <f t="shared" si="19"/>
        <v>8.3870374999999981</v>
      </c>
      <c r="AB32" s="15">
        <f t="shared" si="20"/>
        <v>8.3709262499999966</v>
      </c>
      <c r="AC32" s="15">
        <f t="shared" si="21"/>
        <v>240.38667000000001</v>
      </c>
      <c r="AD32" s="15">
        <f t="shared" si="22"/>
        <v>248.75759625000001</v>
      </c>
      <c r="AE32" s="15">
        <f t="shared" si="23"/>
        <v>257.14463375000003</v>
      </c>
      <c r="AF32" s="11">
        <f t="shared" si="24"/>
        <v>257.14463375000003</v>
      </c>
    </row>
    <row r="33" spans="1:32" x14ac:dyDescent="0.25">
      <c r="A33" t="s">
        <v>37</v>
      </c>
      <c r="B33" s="15">
        <v>1</v>
      </c>
      <c r="C33" s="13">
        <v>0.3</v>
      </c>
      <c r="D33" s="13">
        <v>0.9</v>
      </c>
      <c r="E33" s="14">
        <v>200</v>
      </c>
      <c r="F33">
        <v>4</v>
      </c>
      <c r="G33" s="2">
        <f t="shared" si="25"/>
        <v>54</v>
      </c>
      <c r="H33" s="15">
        <f t="shared" si="7"/>
        <v>54</v>
      </c>
      <c r="I33" s="15">
        <f t="shared" si="26"/>
        <v>90</v>
      </c>
      <c r="J33" s="19">
        <f t="shared" si="9"/>
        <v>27</v>
      </c>
      <c r="K33" s="15">
        <f t="shared" si="10"/>
        <v>27</v>
      </c>
      <c r="L33" s="2">
        <f>+G33*$B$5*Energikilde!$D$4</f>
        <v>269.19</v>
      </c>
      <c r="M33" s="15">
        <f t="shared" si="11"/>
        <v>269.19</v>
      </c>
      <c r="N33" s="15">
        <f t="shared" si="12"/>
        <v>-25</v>
      </c>
      <c r="O33" s="15">
        <f t="shared" si="13"/>
        <v>-15</v>
      </c>
      <c r="P33" s="12">
        <f t="shared" si="14"/>
        <v>0.2</v>
      </c>
      <c r="Q33" s="15">
        <f t="shared" si="0"/>
        <v>26.919</v>
      </c>
      <c r="R33" s="15">
        <f t="shared" si="1"/>
        <v>18.843299999999999</v>
      </c>
      <c r="S33" s="12">
        <f t="shared" si="15"/>
        <v>0.8</v>
      </c>
      <c r="T33" s="15">
        <f t="shared" si="2"/>
        <v>193.81680000000003</v>
      </c>
      <c r="U33" s="15">
        <f t="shared" si="3"/>
        <v>0</v>
      </c>
      <c r="V33" s="15">
        <f t="shared" si="4"/>
        <v>1.9190000000000005</v>
      </c>
      <c r="W33" s="15">
        <f t="shared" si="5"/>
        <v>3.8432999999999993</v>
      </c>
      <c r="X33" s="15">
        <f t="shared" si="16"/>
        <v>193.81680000000003</v>
      </c>
      <c r="Y33" s="15">
        <f t="shared" si="17"/>
        <v>197.66010000000003</v>
      </c>
      <c r="Z33" s="15">
        <f t="shared" si="18"/>
        <v>199.57910000000004</v>
      </c>
      <c r="AA33" s="15">
        <f t="shared" si="19"/>
        <v>1.9190000000000005</v>
      </c>
      <c r="AB33" s="15">
        <f t="shared" si="20"/>
        <v>3.8432999999999993</v>
      </c>
      <c r="AC33" s="15">
        <f t="shared" si="21"/>
        <v>193.81680000000003</v>
      </c>
      <c r="AD33" s="15">
        <f t="shared" si="22"/>
        <v>197.66010000000003</v>
      </c>
      <c r="AE33" s="15">
        <f t="shared" si="23"/>
        <v>199.57910000000004</v>
      </c>
      <c r="AF33" s="11">
        <f t="shared" si="24"/>
        <v>199.57910000000004</v>
      </c>
    </row>
    <row r="34" spans="1:32" x14ac:dyDescent="0.25">
      <c r="A34" t="s">
        <v>38</v>
      </c>
      <c r="B34" s="15">
        <v>1</v>
      </c>
      <c r="C34" s="13">
        <v>0.57999999999999996</v>
      </c>
      <c r="D34" s="13">
        <v>0.9</v>
      </c>
      <c r="E34" s="14">
        <v>21</v>
      </c>
      <c r="F34">
        <v>5</v>
      </c>
      <c r="G34" s="2">
        <f t="shared" si="25"/>
        <v>10.962</v>
      </c>
      <c r="H34" s="15">
        <f t="shared" si="7"/>
        <v>10.962</v>
      </c>
      <c r="I34" s="15">
        <f t="shared" si="26"/>
        <v>18.27</v>
      </c>
      <c r="J34" s="19">
        <f t="shared" si="9"/>
        <v>5.4809999999999999</v>
      </c>
      <c r="K34" s="15">
        <f t="shared" si="10"/>
        <v>5.4809999999999999</v>
      </c>
      <c r="L34" s="2">
        <f>+G34*$B$5*Energikilde!$D$4</f>
        <v>54.645569999999999</v>
      </c>
      <c r="M34" s="15">
        <f t="shared" si="11"/>
        <v>54.645569999999999</v>
      </c>
      <c r="N34" s="15">
        <f t="shared" si="12"/>
        <v>-25</v>
      </c>
      <c r="O34" s="15">
        <f t="shared" si="13"/>
        <v>-15</v>
      </c>
      <c r="P34" s="12">
        <f t="shared" si="14"/>
        <v>0.2</v>
      </c>
      <c r="Q34" s="15">
        <f t="shared" si="0"/>
        <v>5.4645570000000001</v>
      </c>
      <c r="R34" s="15">
        <f t="shared" si="1"/>
        <v>3.8251898999999998</v>
      </c>
      <c r="S34" s="12">
        <f t="shared" si="15"/>
        <v>0.8</v>
      </c>
      <c r="T34" s="15">
        <f t="shared" si="2"/>
        <v>39.3448104</v>
      </c>
      <c r="U34" s="15">
        <f t="shared" si="3"/>
        <v>0</v>
      </c>
      <c r="V34" s="15">
        <f t="shared" si="4"/>
        <v>-19.535443000000001</v>
      </c>
      <c r="W34" s="15">
        <f t="shared" si="5"/>
        <v>-11.1748101</v>
      </c>
      <c r="X34" s="15">
        <f t="shared" si="16"/>
        <v>39.3448104</v>
      </c>
      <c r="Y34" s="15">
        <f t="shared" si="17"/>
        <v>28.170000299999998</v>
      </c>
      <c r="Z34" s="15">
        <f t="shared" si="18"/>
        <v>8.6345572999999973</v>
      </c>
      <c r="AA34" s="15">
        <f t="shared" si="19"/>
        <v>-19.535443000000001</v>
      </c>
      <c r="AB34" s="15">
        <f t="shared" si="20"/>
        <v>-11.1748101</v>
      </c>
      <c r="AC34" s="15">
        <f t="shared" si="21"/>
        <v>39.3448104</v>
      </c>
      <c r="AD34" s="15">
        <f t="shared" si="22"/>
        <v>28.170000299999998</v>
      </c>
      <c r="AE34" s="15">
        <f t="shared" si="23"/>
        <v>8.6345572999999973</v>
      </c>
      <c r="AF34" s="2">
        <f t="shared" si="24"/>
        <v>8.6345572999999973</v>
      </c>
    </row>
    <row r="35" spans="1:32" x14ac:dyDescent="0.25">
      <c r="A35" t="s">
        <v>39</v>
      </c>
      <c r="B35" s="15">
        <v>1</v>
      </c>
      <c r="C35" s="13">
        <v>0.31</v>
      </c>
      <c r="D35" s="13">
        <v>0.9</v>
      </c>
      <c r="E35" s="14">
        <v>400</v>
      </c>
      <c r="F35">
        <v>5</v>
      </c>
      <c r="G35" s="11">
        <f t="shared" si="25"/>
        <v>111.60000000000001</v>
      </c>
      <c r="H35" s="15">
        <f t="shared" si="7"/>
        <v>111.60000000000001</v>
      </c>
      <c r="I35" s="15">
        <f t="shared" si="26"/>
        <v>186.00000000000003</v>
      </c>
      <c r="J35" s="19">
        <f t="shared" si="9"/>
        <v>55.800000000000004</v>
      </c>
      <c r="K35" s="15">
        <f t="shared" si="10"/>
        <v>55.800000000000004</v>
      </c>
      <c r="L35" s="2">
        <f>+G35*$B$5*Energikilde!$D$4</f>
        <v>556.32600000000002</v>
      </c>
      <c r="M35" s="15">
        <f t="shared" si="11"/>
        <v>556.32600000000002</v>
      </c>
      <c r="N35" s="15">
        <f t="shared" si="12"/>
        <v>-25</v>
      </c>
      <c r="O35" s="15">
        <f t="shared" si="13"/>
        <v>-15</v>
      </c>
      <c r="P35" s="12">
        <f t="shared" si="14"/>
        <v>0.2</v>
      </c>
      <c r="Q35" s="15">
        <f t="shared" si="0"/>
        <v>55.632600000000004</v>
      </c>
      <c r="R35" s="15">
        <f t="shared" si="1"/>
        <v>38.942820000000005</v>
      </c>
      <c r="S35" s="12">
        <f t="shared" si="15"/>
        <v>0.8</v>
      </c>
      <c r="T35" s="15">
        <f t="shared" si="2"/>
        <v>400.55472000000009</v>
      </c>
      <c r="U35" s="15">
        <f t="shared" si="3"/>
        <v>0</v>
      </c>
      <c r="V35" s="15">
        <f t="shared" si="4"/>
        <v>30.632600000000004</v>
      </c>
      <c r="W35" s="15">
        <f t="shared" si="5"/>
        <v>23.942820000000005</v>
      </c>
      <c r="X35" s="15">
        <f t="shared" si="16"/>
        <v>400.55472000000009</v>
      </c>
      <c r="Y35" s="15">
        <f t="shared" si="17"/>
        <v>424.49754000000007</v>
      </c>
      <c r="Z35" s="15">
        <f t="shared" si="18"/>
        <v>455.1301400000001</v>
      </c>
      <c r="AA35" s="15">
        <f t="shared" si="19"/>
        <v>30.632600000000004</v>
      </c>
      <c r="AB35" s="15">
        <f t="shared" si="20"/>
        <v>23.942820000000005</v>
      </c>
      <c r="AC35" s="15">
        <f t="shared" si="21"/>
        <v>400.55472000000009</v>
      </c>
      <c r="AD35" s="15">
        <f t="shared" si="22"/>
        <v>424.49754000000007</v>
      </c>
      <c r="AE35" s="15">
        <f t="shared" si="23"/>
        <v>455.1301400000001</v>
      </c>
      <c r="AF35" s="11">
        <f t="shared" si="24"/>
        <v>455.1301400000001</v>
      </c>
    </row>
    <row r="36" spans="1:32" x14ac:dyDescent="0.25">
      <c r="B36" s="15"/>
      <c r="C36" s="13"/>
      <c r="D36" s="13"/>
      <c r="E36" s="14"/>
      <c r="H36" s="15">
        <f t="shared" si="7"/>
        <v>0</v>
      </c>
      <c r="I36" s="15"/>
      <c r="J36" s="19"/>
      <c r="K36" s="15"/>
      <c r="L36" s="2"/>
      <c r="M36" s="15"/>
      <c r="N36" s="15"/>
      <c r="O36" s="15"/>
      <c r="P36" s="12"/>
      <c r="Q36" s="15"/>
      <c r="R36" s="15"/>
      <c r="S36" s="12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2"/>
    </row>
    <row r="37" spans="1:32" x14ac:dyDescent="0.25">
      <c r="A37" t="s">
        <v>163</v>
      </c>
      <c r="B37" s="15">
        <v>1</v>
      </c>
      <c r="C37" s="13">
        <v>0.22</v>
      </c>
      <c r="D37" s="13">
        <v>0.7</v>
      </c>
      <c r="E37" s="14">
        <v>330</v>
      </c>
      <c r="F37">
        <v>1</v>
      </c>
      <c r="G37" s="2">
        <f>+C37*D37*E37</f>
        <v>50.82</v>
      </c>
      <c r="H37" s="15">
        <f t="shared" si="7"/>
        <v>50.82</v>
      </c>
      <c r="I37" s="15">
        <f>+H37/$B$11</f>
        <v>84.7</v>
      </c>
      <c r="J37" s="19">
        <f>G37*$B$5</f>
        <v>25.41</v>
      </c>
      <c r="K37" s="15">
        <f>J37*B37</f>
        <v>25.41</v>
      </c>
      <c r="L37" s="2">
        <f>+G37*$B$5*Energikilde!$D$4</f>
        <v>253.33770000000001</v>
      </c>
      <c r="M37" s="15">
        <f>+B37*L37</f>
        <v>253.33770000000001</v>
      </c>
      <c r="N37" s="15">
        <f>-$B37*$B$12</f>
        <v>-25</v>
      </c>
      <c r="O37" s="15">
        <f>-$B37*$B$13</f>
        <v>-15</v>
      </c>
      <c r="P37" s="12">
        <f>+$B$6</f>
        <v>0.2</v>
      </c>
      <c r="Q37" s="15">
        <f t="shared" si="0"/>
        <v>25.333770000000001</v>
      </c>
      <c r="R37" s="15">
        <f t="shared" si="1"/>
        <v>17.733639</v>
      </c>
      <c r="S37" s="12">
        <f>+$B$9</f>
        <v>0.8</v>
      </c>
      <c r="T37" s="15">
        <f t="shared" si="2"/>
        <v>182.40314400000003</v>
      </c>
      <c r="U37" s="15">
        <f t="shared" si="3"/>
        <v>0</v>
      </c>
      <c r="V37" s="15">
        <f t="shared" si="4"/>
        <v>0.33377000000000123</v>
      </c>
      <c r="W37" s="15">
        <f t="shared" si="5"/>
        <v>2.7336390000000002</v>
      </c>
      <c r="X37" s="15">
        <f>T37</f>
        <v>182.40314400000003</v>
      </c>
      <c r="Y37" s="15">
        <f>W37+X37</f>
        <v>185.13678300000004</v>
      </c>
      <c r="Z37" s="15">
        <f>SUM(V37:X37)</f>
        <v>185.47055300000002</v>
      </c>
      <c r="AA37" s="15">
        <f>V37*$B$16</f>
        <v>0.33377000000000123</v>
      </c>
      <c r="AB37" s="15">
        <f>W37*$B$15</f>
        <v>2.7336390000000002</v>
      </c>
      <c r="AC37" s="15">
        <f>X37*$B$17</f>
        <v>182.40314400000003</v>
      </c>
      <c r="AD37" s="15">
        <f>AB37+AC37</f>
        <v>185.13678300000004</v>
      </c>
      <c r="AE37" s="15">
        <f>SUM(AA37:AC37)</f>
        <v>185.47055300000002</v>
      </c>
      <c r="AF37" s="11">
        <f>AE37/$B37</f>
        <v>185.47055300000002</v>
      </c>
    </row>
    <row r="38" spans="1:32" x14ac:dyDescent="0.25">
      <c r="B38" s="15">
        <v>0</v>
      </c>
      <c r="C38" s="13"/>
      <c r="D38" s="13"/>
      <c r="E38" s="14"/>
      <c r="G38">
        <f t="shared" si="25"/>
        <v>0</v>
      </c>
      <c r="H38" s="15">
        <f t="shared" si="7"/>
        <v>0</v>
      </c>
      <c r="I38" s="15">
        <f t="shared" si="26"/>
        <v>0</v>
      </c>
      <c r="J38" s="19">
        <f t="shared" si="9"/>
        <v>0</v>
      </c>
      <c r="K38" s="15">
        <f t="shared" si="10"/>
        <v>0</v>
      </c>
      <c r="L38" s="2">
        <f>+G38*$B$5*Energikilde!$D$4</f>
        <v>0</v>
      </c>
      <c r="M38" s="15">
        <f t="shared" si="11"/>
        <v>0</v>
      </c>
      <c r="N38" s="15">
        <f t="shared" si="12"/>
        <v>0</v>
      </c>
      <c r="O38" s="15">
        <f t="shared" si="13"/>
        <v>0</v>
      </c>
      <c r="P38" s="12">
        <f t="shared" si="14"/>
        <v>0.2</v>
      </c>
      <c r="Q38" s="15">
        <f t="shared" si="0"/>
        <v>0</v>
      </c>
      <c r="R38" s="15">
        <f t="shared" si="1"/>
        <v>0</v>
      </c>
      <c r="S38" s="12">
        <f t="shared" si="15"/>
        <v>0.8</v>
      </c>
      <c r="T38" s="15">
        <f t="shared" si="2"/>
        <v>0</v>
      </c>
      <c r="U38" s="15">
        <f t="shared" si="3"/>
        <v>0</v>
      </c>
      <c r="V38" s="15">
        <f t="shared" si="4"/>
        <v>0</v>
      </c>
      <c r="W38" s="15">
        <f t="shared" si="5"/>
        <v>0</v>
      </c>
      <c r="X38" s="15">
        <f t="shared" si="16"/>
        <v>0</v>
      </c>
      <c r="Y38" s="15">
        <f t="shared" si="17"/>
        <v>0</v>
      </c>
      <c r="Z38" s="15">
        <f t="shared" si="18"/>
        <v>0</v>
      </c>
      <c r="AA38" s="15">
        <f t="shared" si="19"/>
        <v>0</v>
      </c>
      <c r="AB38" s="15">
        <f t="shared" si="20"/>
        <v>0</v>
      </c>
      <c r="AC38" s="15">
        <f t="shared" si="21"/>
        <v>0</v>
      </c>
      <c r="AD38" s="15">
        <f t="shared" si="22"/>
        <v>0</v>
      </c>
      <c r="AE38" s="15">
        <f t="shared" si="23"/>
        <v>0</v>
      </c>
      <c r="AF38" s="2" t="e">
        <f t="shared" si="24"/>
        <v>#DIV/0!</v>
      </c>
    </row>
    <row r="39" spans="1:32" x14ac:dyDescent="0.25">
      <c r="B39" s="15">
        <v>0</v>
      </c>
      <c r="C39" s="13"/>
      <c r="D39" s="13"/>
      <c r="E39" s="14"/>
      <c r="G39">
        <f t="shared" si="25"/>
        <v>0</v>
      </c>
      <c r="H39" s="15">
        <f t="shared" si="7"/>
        <v>0</v>
      </c>
      <c r="I39" s="15">
        <f t="shared" si="26"/>
        <v>0</v>
      </c>
      <c r="J39" s="19">
        <f t="shared" si="9"/>
        <v>0</v>
      </c>
      <c r="K39" s="15">
        <f t="shared" si="10"/>
        <v>0</v>
      </c>
      <c r="L39" s="2">
        <f>+G39*$B$5*Energikilde!$D$4</f>
        <v>0</v>
      </c>
      <c r="M39" s="15">
        <f t="shared" si="11"/>
        <v>0</v>
      </c>
      <c r="N39" s="15">
        <f t="shared" si="12"/>
        <v>0</v>
      </c>
      <c r="O39" s="15">
        <f t="shared" si="13"/>
        <v>0</v>
      </c>
      <c r="P39" s="12">
        <f t="shared" si="14"/>
        <v>0.2</v>
      </c>
      <c r="Q39" s="15">
        <f t="shared" si="0"/>
        <v>0</v>
      </c>
      <c r="R39" s="15">
        <f t="shared" si="1"/>
        <v>0</v>
      </c>
      <c r="S39" s="12">
        <f t="shared" si="15"/>
        <v>0.8</v>
      </c>
      <c r="T39" s="15">
        <f t="shared" si="2"/>
        <v>0</v>
      </c>
      <c r="U39" s="15">
        <f t="shared" si="3"/>
        <v>0</v>
      </c>
      <c r="V39" s="15">
        <f t="shared" si="4"/>
        <v>0</v>
      </c>
      <c r="W39" s="15">
        <f t="shared" si="5"/>
        <v>0</v>
      </c>
      <c r="X39" s="15">
        <f t="shared" si="16"/>
        <v>0</v>
      </c>
      <c r="Y39" s="15">
        <f t="shared" si="17"/>
        <v>0</v>
      </c>
      <c r="Z39" s="15">
        <f t="shared" si="18"/>
        <v>0</v>
      </c>
      <c r="AA39" s="15">
        <f t="shared" si="19"/>
        <v>0</v>
      </c>
      <c r="AB39" s="15">
        <f t="shared" si="20"/>
        <v>0</v>
      </c>
      <c r="AC39" s="15">
        <f t="shared" si="21"/>
        <v>0</v>
      </c>
      <c r="AD39" s="15">
        <f t="shared" si="22"/>
        <v>0</v>
      </c>
      <c r="AE39" s="15">
        <f t="shared" si="23"/>
        <v>0</v>
      </c>
      <c r="AF39" s="2" t="e">
        <f t="shared" si="24"/>
        <v>#DIV/0!</v>
      </c>
    </row>
    <row r="40" spans="1:32" x14ac:dyDescent="0.25">
      <c r="B40" s="15">
        <v>0</v>
      </c>
      <c r="C40" s="13"/>
      <c r="D40" s="13"/>
      <c r="E40" s="14"/>
      <c r="G40">
        <f t="shared" si="25"/>
        <v>0</v>
      </c>
      <c r="H40" s="15">
        <f t="shared" si="7"/>
        <v>0</v>
      </c>
      <c r="I40" s="15">
        <f t="shared" si="26"/>
        <v>0</v>
      </c>
      <c r="J40" s="19">
        <f t="shared" si="9"/>
        <v>0</v>
      </c>
      <c r="K40" s="15">
        <f t="shared" si="10"/>
        <v>0</v>
      </c>
      <c r="L40" s="2">
        <f>+G40*$B$5*Energikilde!$D$4</f>
        <v>0</v>
      </c>
      <c r="M40" s="15">
        <f t="shared" si="11"/>
        <v>0</v>
      </c>
      <c r="N40" s="15">
        <f t="shared" si="12"/>
        <v>0</v>
      </c>
      <c r="O40" s="15">
        <f t="shared" si="13"/>
        <v>0</v>
      </c>
      <c r="P40" s="12">
        <f t="shared" si="14"/>
        <v>0.2</v>
      </c>
      <c r="Q40" s="15">
        <f t="shared" si="0"/>
        <v>0</v>
      </c>
      <c r="R40" s="15">
        <f t="shared" si="1"/>
        <v>0</v>
      </c>
      <c r="S40" s="12">
        <f t="shared" si="15"/>
        <v>0.8</v>
      </c>
      <c r="T40" s="15">
        <f t="shared" si="2"/>
        <v>0</v>
      </c>
      <c r="U40" s="15">
        <f t="shared" si="3"/>
        <v>0</v>
      </c>
      <c r="V40" s="15">
        <f t="shared" si="4"/>
        <v>0</v>
      </c>
      <c r="W40" s="15">
        <f t="shared" si="5"/>
        <v>0</v>
      </c>
      <c r="X40" s="15">
        <f t="shared" si="16"/>
        <v>0</v>
      </c>
      <c r="Y40" s="15">
        <f t="shared" si="17"/>
        <v>0</v>
      </c>
      <c r="Z40" s="15">
        <f t="shared" si="18"/>
        <v>0</v>
      </c>
      <c r="AA40" s="15">
        <f t="shared" si="19"/>
        <v>0</v>
      </c>
      <c r="AB40" s="15">
        <f t="shared" si="20"/>
        <v>0</v>
      </c>
      <c r="AC40" s="15">
        <f t="shared" si="21"/>
        <v>0</v>
      </c>
      <c r="AD40" s="15">
        <f t="shared" si="22"/>
        <v>0</v>
      </c>
      <c r="AE40" s="15">
        <f t="shared" si="23"/>
        <v>0</v>
      </c>
      <c r="AF40" s="2" t="e">
        <f t="shared" si="24"/>
        <v>#DIV/0!</v>
      </c>
    </row>
    <row r="41" spans="1:32" x14ac:dyDescent="0.25">
      <c r="B41" s="15">
        <v>0</v>
      </c>
      <c r="C41" s="13"/>
      <c r="D41" s="13"/>
      <c r="E41" s="14"/>
      <c r="G41">
        <f t="shared" si="25"/>
        <v>0</v>
      </c>
      <c r="H41" s="15">
        <f t="shared" si="7"/>
        <v>0</v>
      </c>
      <c r="I41" s="15">
        <f t="shared" si="26"/>
        <v>0</v>
      </c>
      <c r="J41" s="19">
        <f t="shared" si="9"/>
        <v>0</v>
      </c>
      <c r="K41" s="15">
        <f t="shared" si="10"/>
        <v>0</v>
      </c>
      <c r="L41" s="2">
        <f>+G41*$B$5*Energikilde!$D$4</f>
        <v>0</v>
      </c>
      <c r="M41" s="15">
        <f t="shared" si="11"/>
        <v>0</v>
      </c>
      <c r="N41" s="15">
        <f t="shared" si="12"/>
        <v>0</v>
      </c>
      <c r="O41" s="15">
        <f t="shared" si="13"/>
        <v>0</v>
      </c>
      <c r="P41" s="12">
        <f t="shared" si="14"/>
        <v>0.2</v>
      </c>
      <c r="Q41" s="15">
        <f t="shared" si="0"/>
        <v>0</v>
      </c>
      <c r="R41" s="15">
        <f t="shared" si="1"/>
        <v>0</v>
      </c>
      <c r="S41" s="12">
        <f t="shared" si="15"/>
        <v>0.8</v>
      </c>
      <c r="T41" s="15">
        <f t="shared" si="2"/>
        <v>0</v>
      </c>
      <c r="U41" s="15">
        <f t="shared" si="3"/>
        <v>0</v>
      </c>
      <c r="V41" s="15">
        <f t="shared" si="4"/>
        <v>0</v>
      </c>
      <c r="W41" s="15">
        <f t="shared" si="5"/>
        <v>0</v>
      </c>
      <c r="X41" s="15">
        <f t="shared" si="16"/>
        <v>0</v>
      </c>
      <c r="Y41" s="15">
        <f t="shared" si="17"/>
        <v>0</v>
      </c>
      <c r="Z41" s="15">
        <f t="shared" si="18"/>
        <v>0</v>
      </c>
      <c r="AA41" s="15">
        <f t="shared" si="19"/>
        <v>0</v>
      </c>
      <c r="AB41" s="15">
        <f t="shared" si="20"/>
        <v>0</v>
      </c>
      <c r="AC41" s="15">
        <f t="shared" si="21"/>
        <v>0</v>
      </c>
      <c r="AD41" s="15">
        <f t="shared" si="22"/>
        <v>0</v>
      </c>
      <c r="AE41" s="15">
        <f t="shared" si="23"/>
        <v>0</v>
      </c>
      <c r="AF41" s="2" t="e">
        <f t="shared" si="24"/>
        <v>#DIV/0!</v>
      </c>
    </row>
    <row r="42" spans="1:32" x14ac:dyDescent="0.25">
      <c r="B42" s="15">
        <v>0</v>
      </c>
      <c r="C42" s="13"/>
      <c r="D42" s="13"/>
      <c r="E42" s="14"/>
      <c r="G42">
        <f t="shared" si="25"/>
        <v>0</v>
      </c>
      <c r="H42" s="15">
        <f t="shared" si="7"/>
        <v>0</v>
      </c>
      <c r="I42" s="15">
        <f t="shared" si="26"/>
        <v>0</v>
      </c>
      <c r="J42" s="19">
        <f t="shared" si="9"/>
        <v>0</v>
      </c>
      <c r="K42" s="15">
        <f t="shared" si="10"/>
        <v>0</v>
      </c>
      <c r="L42" s="2">
        <f>+G42*$B$5*Energikilde!$D$4</f>
        <v>0</v>
      </c>
      <c r="M42" s="15">
        <f t="shared" si="11"/>
        <v>0</v>
      </c>
      <c r="N42" s="15">
        <f t="shared" si="12"/>
        <v>0</v>
      </c>
      <c r="O42" s="15">
        <f t="shared" si="13"/>
        <v>0</v>
      </c>
      <c r="P42" s="12">
        <f t="shared" si="14"/>
        <v>0.2</v>
      </c>
      <c r="Q42" s="15">
        <f t="shared" si="0"/>
        <v>0</v>
      </c>
      <c r="R42" s="15">
        <f t="shared" si="1"/>
        <v>0</v>
      </c>
      <c r="S42" s="12">
        <f t="shared" si="15"/>
        <v>0.8</v>
      </c>
      <c r="T42" s="15">
        <f t="shared" si="2"/>
        <v>0</v>
      </c>
      <c r="U42" s="15">
        <f t="shared" si="3"/>
        <v>0</v>
      </c>
      <c r="V42" s="15">
        <f t="shared" si="4"/>
        <v>0</v>
      </c>
      <c r="W42" s="15">
        <f t="shared" si="5"/>
        <v>0</v>
      </c>
      <c r="X42" s="15">
        <f t="shared" si="16"/>
        <v>0</v>
      </c>
      <c r="Y42" s="15">
        <f t="shared" si="17"/>
        <v>0</v>
      </c>
      <c r="Z42" s="15">
        <f t="shared" si="18"/>
        <v>0</v>
      </c>
      <c r="AA42" s="15">
        <f t="shared" si="19"/>
        <v>0</v>
      </c>
      <c r="AB42" s="15">
        <f t="shared" si="20"/>
        <v>0</v>
      </c>
      <c r="AC42" s="15">
        <f t="shared" si="21"/>
        <v>0</v>
      </c>
      <c r="AD42" s="15">
        <f t="shared" si="22"/>
        <v>0</v>
      </c>
      <c r="AE42" s="15">
        <f t="shared" si="23"/>
        <v>0</v>
      </c>
      <c r="AF42" s="2" t="e">
        <f t="shared" si="24"/>
        <v>#DIV/0!</v>
      </c>
    </row>
    <row r="43" spans="1:32" x14ac:dyDescent="0.25">
      <c r="C43" s="1"/>
      <c r="D43" s="1"/>
    </row>
    <row r="44" spans="1:32" s="3" customFormat="1" x14ac:dyDescent="0.25">
      <c r="A44" s="3" t="s">
        <v>51</v>
      </c>
      <c r="B44" s="16">
        <f>SUM(B23:B43)</f>
        <v>14</v>
      </c>
      <c r="C44" s="17"/>
      <c r="D44" s="17"/>
      <c r="H44" s="16">
        <f>SUM(H23:H43)</f>
        <v>1104.4769999999999</v>
      </c>
      <c r="I44" s="16">
        <f>SUM(I23:I43)</f>
        <v>1840.7950000000001</v>
      </c>
      <c r="J44" s="16"/>
      <c r="K44" s="16"/>
      <c r="M44" s="16">
        <f>SUM(M23:M43)</f>
        <v>5505.8178450000005</v>
      </c>
      <c r="N44" s="16">
        <f t="shared" ref="N44:O44" si="27">SUM(N23:N43)</f>
        <v>-350</v>
      </c>
      <c r="O44" s="16">
        <f t="shared" si="27"/>
        <v>-210</v>
      </c>
      <c r="P44" s="16"/>
      <c r="Q44" s="16">
        <f>SUM(Q43:Q43)</f>
        <v>0</v>
      </c>
      <c r="R44" s="16">
        <f>SUM(R23:R43)</f>
        <v>385.40724914999998</v>
      </c>
      <c r="S44" s="16"/>
      <c r="T44" s="16">
        <f>SUM(T23:T43)</f>
        <v>3964.1888484000006</v>
      </c>
      <c r="U44" s="16"/>
      <c r="V44" s="16">
        <f t="shared" ref="V44:X44" si="28">SUM(V23:V43)</f>
        <v>200.58178450000003</v>
      </c>
      <c r="W44" s="16">
        <f t="shared" si="28"/>
        <v>175.40724915000004</v>
      </c>
      <c r="X44" s="16">
        <f t="shared" si="28"/>
        <v>3964.1888484000006</v>
      </c>
      <c r="Y44" s="16">
        <f t="shared" ref="Y44:AE44" si="29">SUM(Y23:Y43)</f>
        <v>4139.5960975500011</v>
      </c>
      <c r="Z44" s="16">
        <f t="shared" si="29"/>
        <v>4340.1778820500003</v>
      </c>
      <c r="AA44" s="16">
        <f t="shared" si="29"/>
        <v>200.58178450000003</v>
      </c>
      <c r="AB44" s="16">
        <f t="shared" si="29"/>
        <v>175.40724915000004</v>
      </c>
      <c r="AC44" s="16">
        <f t="shared" si="29"/>
        <v>3964.1888484000006</v>
      </c>
      <c r="AD44" s="16">
        <f t="shared" si="29"/>
        <v>4139.5960975500011</v>
      </c>
      <c r="AE44" s="16">
        <f t="shared" si="29"/>
        <v>4340.1778820500003</v>
      </c>
      <c r="AF44" s="48">
        <f>AE44/B44</f>
        <v>310.01270586071433</v>
      </c>
    </row>
    <row r="45" spans="1:32" x14ac:dyDescent="0.25">
      <c r="C45" s="1"/>
      <c r="D45" s="1"/>
    </row>
    <row r="46" spans="1:32" x14ac:dyDescent="0.25">
      <c r="C46" s="1"/>
      <c r="D46" s="1"/>
    </row>
    <row r="47" spans="1:32" x14ac:dyDescent="0.25">
      <c r="C47" s="1"/>
      <c r="D47" s="1"/>
    </row>
    <row r="57" spans="1:5" x14ac:dyDescent="0.25">
      <c r="A57" t="s">
        <v>73</v>
      </c>
      <c r="D57" t="s">
        <v>75</v>
      </c>
    </row>
    <row r="58" spans="1:5" x14ac:dyDescent="0.25">
      <c r="A58" t="s">
        <v>74</v>
      </c>
    </row>
    <row r="59" spans="1:5" x14ac:dyDescent="0.25">
      <c r="D59" s="2">
        <f>L23</f>
        <v>69.092100000000002</v>
      </c>
      <c r="E59" t="s">
        <v>76</v>
      </c>
    </row>
    <row r="60" spans="1:5" x14ac:dyDescent="0.25">
      <c r="C60" s="13">
        <v>0.04</v>
      </c>
      <c r="D60">
        <f t="dataTable" ref="D60:D64" dt2D="0" dtr="0" r1="C23"/>
        <v>46.061399999999992</v>
      </c>
      <c r="E60" s="11">
        <f>(D60/$D$62-1)*100</f>
        <v>-33.33333333333335</v>
      </c>
    </row>
    <row r="61" spans="1:5" x14ac:dyDescent="0.25">
      <c r="C61" s="13">
        <v>0.05</v>
      </c>
      <c r="D61">
        <v>57.576749999999997</v>
      </c>
      <c r="E61" s="11">
        <f>(D61/$D$62-1)*100</f>
        <v>-16.666666666666675</v>
      </c>
    </row>
    <row r="62" spans="1:5" x14ac:dyDescent="0.25">
      <c r="C62" s="13">
        <v>0.06</v>
      </c>
      <c r="D62">
        <v>69.092100000000002</v>
      </c>
      <c r="E62" s="11">
        <f t="shared" ref="E62:E64" si="30">(D62/$D$62-1)*100</f>
        <v>0</v>
      </c>
    </row>
    <row r="63" spans="1:5" x14ac:dyDescent="0.25">
      <c r="C63" s="13">
        <v>7.0000000000000007E-2</v>
      </c>
      <c r="D63">
        <v>80.607450000000014</v>
      </c>
      <c r="E63" s="11">
        <f t="shared" si="30"/>
        <v>16.666666666666675</v>
      </c>
    </row>
    <row r="64" spans="1:5" x14ac:dyDescent="0.25">
      <c r="C64" s="13">
        <v>0.08</v>
      </c>
      <c r="D64">
        <v>92.122799999999984</v>
      </c>
      <c r="E64" s="11">
        <f t="shared" si="30"/>
        <v>33.3333333333333</v>
      </c>
    </row>
    <row r="67" spans="1:5" x14ac:dyDescent="0.25">
      <c r="D67" s="2">
        <f>AF23</f>
        <v>21.491969000000005</v>
      </c>
    </row>
    <row r="68" spans="1:5" x14ac:dyDescent="0.25">
      <c r="A68" t="str">
        <f>AA19</f>
        <v xml:space="preserve">Energigevinst  til tabel </v>
      </c>
      <c r="C68" s="13">
        <v>0.04</v>
      </c>
      <c r="D68" s="2">
        <f t="dataTable" ref="D68:D72" dt2D="0" dtr="0" r1="C23" ca="1"/>
        <v>0.99464599999999592</v>
      </c>
      <c r="E68" s="11">
        <f>(D68/$D$70-1)*100</f>
        <v>-95.372010819483336</v>
      </c>
    </row>
    <row r="69" spans="1:5" x14ac:dyDescent="0.25">
      <c r="C69" s="13">
        <v>0.05</v>
      </c>
      <c r="D69" s="2">
        <v>11.2433075</v>
      </c>
      <c r="E69" s="11">
        <f t="shared" ref="E69:E72" si="31">(D69/$D$70-1)*100</f>
        <v>-47.686005409741675</v>
      </c>
    </row>
    <row r="70" spans="1:5" x14ac:dyDescent="0.25">
      <c r="C70" s="13">
        <v>0.06</v>
      </c>
      <c r="D70" s="2">
        <v>21.491969000000005</v>
      </c>
      <c r="E70" s="11">
        <f t="shared" si="31"/>
        <v>0</v>
      </c>
    </row>
    <row r="71" spans="1:5" x14ac:dyDescent="0.25">
      <c r="C71" s="13">
        <v>7.0000000000000007E-2</v>
      </c>
      <c r="D71" s="2">
        <v>31.740630500000023</v>
      </c>
      <c r="E71" s="11">
        <f t="shared" si="31"/>
        <v>47.686005409741725</v>
      </c>
    </row>
    <row r="72" spans="1:5" x14ac:dyDescent="0.25">
      <c r="C72" s="13">
        <v>0.08</v>
      </c>
      <c r="D72" s="2">
        <v>41.989291999999985</v>
      </c>
      <c r="E72" s="11">
        <f t="shared" si="31"/>
        <v>95.372010819483208</v>
      </c>
    </row>
  </sheetData>
  <mergeCells count="2">
    <mergeCell ref="P19:R19"/>
    <mergeCell ref="S19:T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"/>
  <sheetViews>
    <sheetView workbookViewId="0">
      <selection activeCell="G19" sqref="G19"/>
    </sheetView>
  </sheetViews>
  <sheetFormatPr defaultRowHeight="11.5" x14ac:dyDescent="0.25"/>
  <cols>
    <col min="1" max="1" width="14" customWidth="1"/>
    <col min="2" max="2" width="15.453125" bestFit="1" customWidth="1"/>
    <col min="3" max="3" width="5.81640625" bestFit="1" customWidth="1"/>
    <col min="4" max="4" width="15.453125" bestFit="1" customWidth="1"/>
    <col min="5" max="5" width="8.08984375" bestFit="1" customWidth="1"/>
    <col min="6" max="6" width="16.6328125" customWidth="1"/>
  </cols>
  <sheetData>
    <row r="1" spans="1:7" ht="12" thickBot="1" x14ac:dyDescent="0.3"/>
    <row r="2" spans="1:7" x14ac:dyDescent="0.25">
      <c r="A2" s="78" t="s">
        <v>9</v>
      </c>
      <c r="B2" s="80" t="s">
        <v>10</v>
      </c>
      <c r="C2" s="80" t="s">
        <v>28</v>
      </c>
      <c r="D2" s="80" t="s">
        <v>10</v>
      </c>
      <c r="E2" s="80" t="s">
        <v>28</v>
      </c>
      <c r="F2" s="82" t="s">
        <v>11</v>
      </c>
      <c r="G2" s="77" t="s">
        <v>41</v>
      </c>
    </row>
    <row r="3" spans="1:7" x14ac:dyDescent="0.25">
      <c r="A3" s="79"/>
      <c r="B3" s="81"/>
      <c r="C3" s="81"/>
      <c r="D3" s="81"/>
      <c r="E3" s="81"/>
      <c r="F3" s="83"/>
      <c r="G3" s="77"/>
    </row>
    <row r="4" spans="1:7" ht="24.5" x14ac:dyDescent="0.25">
      <c r="A4" s="6" t="s">
        <v>12</v>
      </c>
      <c r="B4" s="4">
        <v>35.9</v>
      </c>
      <c r="C4" s="4" t="s">
        <v>26</v>
      </c>
      <c r="D4" s="5">
        <v>9.9700000000000006</v>
      </c>
      <c r="E4" s="5" t="s">
        <v>29</v>
      </c>
      <c r="F4" s="7"/>
      <c r="G4">
        <v>3</v>
      </c>
    </row>
    <row r="5" spans="1:7" ht="24.5" x14ac:dyDescent="0.25">
      <c r="A5" s="6" t="s">
        <v>13</v>
      </c>
      <c r="B5" s="4">
        <v>39.6</v>
      </c>
      <c r="C5" s="4" t="s">
        <v>26</v>
      </c>
      <c r="D5" s="4">
        <v>11</v>
      </c>
      <c r="E5" s="4" t="s">
        <v>30</v>
      </c>
      <c r="F5" s="7"/>
      <c r="G5">
        <v>3</v>
      </c>
    </row>
    <row r="6" spans="1:7" ht="24.5" x14ac:dyDescent="0.25">
      <c r="A6" s="6" t="s">
        <v>14</v>
      </c>
      <c r="B6" s="4">
        <v>20.2</v>
      </c>
      <c r="C6" s="4" t="s">
        <v>26</v>
      </c>
      <c r="D6" s="4">
        <v>5.61</v>
      </c>
      <c r="E6" s="4" t="s">
        <v>30</v>
      </c>
      <c r="F6" s="7" t="s">
        <v>15</v>
      </c>
      <c r="G6">
        <v>4</v>
      </c>
    </row>
    <row r="7" spans="1:7" ht="24.5" x14ac:dyDescent="0.25">
      <c r="A7" s="6" t="s">
        <v>16</v>
      </c>
      <c r="B7" s="4">
        <v>21.5</v>
      </c>
      <c r="C7" s="4" t="s">
        <v>26</v>
      </c>
      <c r="D7" s="4">
        <v>5.98</v>
      </c>
      <c r="E7" s="4" t="s">
        <v>30</v>
      </c>
      <c r="F7" s="7" t="s">
        <v>17</v>
      </c>
      <c r="G7">
        <v>3</v>
      </c>
    </row>
    <row r="8" spans="1:7" ht="23" x14ac:dyDescent="0.25">
      <c r="A8" s="6" t="s">
        <v>18</v>
      </c>
      <c r="B8" s="4">
        <v>46</v>
      </c>
      <c r="C8" s="4" t="s">
        <v>27</v>
      </c>
      <c r="D8" s="4">
        <v>12.8</v>
      </c>
      <c r="E8" s="4" t="s">
        <v>31</v>
      </c>
      <c r="F8" s="7"/>
      <c r="G8">
        <v>3</v>
      </c>
    </row>
    <row r="9" spans="1:7" ht="23" x14ac:dyDescent="0.25">
      <c r="A9" s="6" t="s">
        <v>19</v>
      </c>
      <c r="B9" s="4">
        <v>40.700000000000003</v>
      </c>
      <c r="C9" s="4" t="s">
        <v>27</v>
      </c>
      <c r="D9" s="4">
        <v>11.3</v>
      </c>
      <c r="E9" s="4" t="s">
        <v>31</v>
      </c>
      <c r="F9" s="7"/>
      <c r="G9">
        <v>3</v>
      </c>
    </row>
    <row r="10" spans="1:7" ht="23" x14ac:dyDescent="0.25">
      <c r="A10" s="6" t="s">
        <v>20</v>
      </c>
      <c r="B10" s="4">
        <v>17.5</v>
      </c>
      <c r="C10" s="4" t="s">
        <v>27</v>
      </c>
      <c r="D10" s="4">
        <v>4.8600000000000003</v>
      </c>
      <c r="E10" s="4" t="s">
        <v>31</v>
      </c>
      <c r="F10" s="7" t="s">
        <v>21</v>
      </c>
      <c r="G10">
        <v>3</v>
      </c>
    </row>
    <row r="11" spans="1:7" ht="23" x14ac:dyDescent="0.25">
      <c r="A11" s="6" t="s">
        <v>22</v>
      </c>
      <c r="B11" s="4">
        <v>14.5</v>
      </c>
      <c r="C11" s="4" t="s">
        <v>27</v>
      </c>
      <c r="D11" s="4">
        <v>4.03</v>
      </c>
      <c r="E11" s="4" t="s">
        <v>31</v>
      </c>
      <c r="F11" s="7" t="s">
        <v>23</v>
      </c>
      <c r="G11">
        <v>3</v>
      </c>
    </row>
    <row r="12" spans="1:7" ht="23.5" thickBot="1" x14ac:dyDescent="0.3">
      <c r="A12" s="8" t="s">
        <v>24</v>
      </c>
      <c r="B12" s="9"/>
      <c r="C12" s="9"/>
      <c r="D12" s="9"/>
      <c r="E12" s="9"/>
      <c r="F12" s="10" t="s">
        <v>25</v>
      </c>
      <c r="G12">
        <v>5</v>
      </c>
    </row>
  </sheetData>
  <mergeCells count="7">
    <mergeCell ref="G2:G3"/>
    <mergeCell ref="A2:A3"/>
    <mergeCell ref="B2:B3"/>
    <mergeCell ref="F2:F3"/>
    <mergeCell ref="D2:D3"/>
    <mergeCell ref="C2:C3"/>
    <mergeCell ref="E2:E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16"/>
  <sheetViews>
    <sheetView workbookViewId="0">
      <selection activeCell="J15" sqref="J15"/>
    </sheetView>
  </sheetViews>
  <sheetFormatPr defaultRowHeight="11.5" x14ac:dyDescent="0.25"/>
  <cols>
    <col min="1" max="1" width="14" customWidth="1"/>
    <col min="2" max="2" width="15.453125" bestFit="1" customWidth="1"/>
    <col min="3" max="3" width="12.453125" customWidth="1"/>
    <col min="4" max="4" width="15.453125" bestFit="1" customWidth="1"/>
    <col min="5" max="5" width="8.08984375" bestFit="1" customWidth="1"/>
    <col min="6" max="6" width="16.6328125" customWidth="1"/>
    <col min="10" max="10" width="52.453125" style="55" customWidth="1"/>
    <col min="11" max="11" width="13.26953125" customWidth="1"/>
  </cols>
  <sheetData>
    <row r="2" spans="1:14" ht="12" thickBot="1" x14ac:dyDescent="0.3"/>
    <row r="3" spans="1:14" ht="58" thickBot="1" x14ac:dyDescent="0.3">
      <c r="A3" s="51" t="s">
        <v>9</v>
      </c>
      <c r="B3" s="51" t="s">
        <v>28</v>
      </c>
      <c r="C3" s="51" t="s">
        <v>97</v>
      </c>
      <c r="D3" s="51" t="s">
        <v>113</v>
      </c>
      <c r="E3" s="51" t="s">
        <v>106</v>
      </c>
      <c r="F3" s="51" t="s">
        <v>115</v>
      </c>
      <c r="G3" s="51" t="s">
        <v>111</v>
      </c>
      <c r="H3" s="51" t="s">
        <v>110</v>
      </c>
      <c r="I3" s="51" t="s">
        <v>114</v>
      </c>
      <c r="J3" s="56" t="s">
        <v>99</v>
      </c>
      <c r="K3" s="51" t="s">
        <v>117</v>
      </c>
      <c r="L3" s="51" t="s">
        <v>118</v>
      </c>
      <c r="M3" s="51"/>
      <c r="N3" s="51"/>
    </row>
    <row r="4" spans="1:14" ht="12" thickBot="1" x14ac:dyDescent="0.3">
      <c r="A4" s="49" t="s">
        <v>12</v>
      </c>
      <c r="B4" s="50" t="s">
        <v>100</v>
      </c>
      <c r="C4" s="54">
        <f t="shared" ref="C4:C15" si="0">D4*E4%</f>
        <v>8.9730000000000008</v>
      </c>
      <c r="D4" s="54">
        <v>9.9700000000000006</v>
      </c>
      <c r="E4" s="50">
        <v>90</v>
      </c>
      <c r="F4" s="54"/>
      <c r="G4" s="54"/>
      <c r="H4" s="54"/>
      <c r="I4" s="54"/>
      <c r="J4" s="57" t="s">
        <v>145</v>
      </c>
      <c r="K4" s="54"/>
      <c r="L4" s="54"/>
      <c r="M4" s="54"/>
      <c r="N4" s="54"/>
    </row>
    <row r="5" spans="1:14" ht="12" thickBot="1" x14ac:dyDescent="0.3">
      <c r="A5" s="49" t="s">
        <v>16</v>
      </c>
      <c r="B5" s="50" t="s">
        <v>100</v>
      </c>
      <c r="C5" s="54">
        <f t="shared" si="0"/>
        <v>5.0830000000000002</v>
      </c>
      <c r="D5" s="54">
        <v>5.98</v>
      </c>
      <c r="E5" s="50">
        <v>85</v>
      </c>
      <c r="F5" s="54"/>
      <c r="G5" s="54"/>
      <c r="H5" s="54"/>
      <c r="I5" s="54"/>
      <c r="J5" s="57" t="s">
        <v>101</v>
      </c>
      <c r="K5" s="54"/>
      <c r="L5" s="54"/>
      <c r="M5" s="54"/>
      <c r="N5" s="54"/>
    </row>
    <row r="6" spans="1:14" ht="12" thickBot="1" x14ac:dyDescent="0.3">
      <c r="A6" s="49" t="s">
        <v>13</v>
      </c>
      <c r="B6" s="50" t="s">
        <v>100</v>
      </c>
      <c r="C6" s="54">
        <f t="shared" si="0"/>
        <v>9.9</v>
      </c>
      <c r="D6" s="54">
        <v>11</v>
      </c>
      <c r="E6" s="50">
        <v>90</v>
      </c>
      <c r="F6" s="54"/>
      <c r="G6" s="54"/>
      <c r="H6" s="54"/>
      <c r="I6" s="54"/>
      <c r="J6" s="57" t="s">
        <v>146</v>
      </c>
      <c r="K6" s="54"/>
      <c r="L6" s="54"/>
      <c r="M6" s="54"/>
      <c r="N6" s="54"/>
    </row>
    <row r="7" spans="1:14" ht="12" thickBot="1" x14ac:dyDescent="0.3">
      <c r="A7" s="49" t="s">
        <v>14</v>
      </c>
      <c r="B7" s="50" t="s">
        <v>100</v>
      </c>
      <c r="C7" s="54">
        <f t="shared" si="0"/>
        <v>4.7685000000000004</v>
      </c>
      <c r="D7" s="54">
        <v>5.61</v>
      </c>
      <c r="E7" s="50">
        <v>85</v>
      </c>
      <c r="F7" s="54"/>
      <c r="G7" s="54"/>
      <c r="H7" s="54"/>
      <c r="I7" s="54"/>
      <c r="J7" s="57" t="s">
        <v>102</v>
      </c>
      <c r="K7" s="54"/>
      <c r="L7" s="54"/>
      <c r="M7" s="54"/>
      <c r="N7" s="54"/>
    </row>
    <row r="8" spans="1:14" ht="12" thickBot="1" x14ac:dyDescent="0.3">
      <c r="A8" s="49" t="s">
        <v>18</v>
      </c>
      <c r="B8" s="50" t="s">
        <v>31</v>
      </c>
      <c r="C8" s="54">
        <f t="shared" si="0"/>
        <v>11.520000000000001</v>
      </c>
      <c r="D8" s="54">
        <v>12.8</v>
      </c>
      <c r="E8" s="50">
        <v>90</v>
      </c>
      <c r="F8" s="54"/>
      <c r="G8" s="54"/>
      <c r="H8" s="54"/>
      <c r="I8" s="54"/>
      <c r="J8" s="57"/>
      <c r="K8" s="54"/>
      <c r="L8" s="54"/>
      <c r="M8" s="54"/>
      <c r="N8" s="54"/>
    </row>
    <row r="9" spans="1:14" ht="12" thickBot="1" x14ac:dyDescent="0.3">
      <c r="A9" s="49" t="s">
        <v>103</v>
      </c>
      <c r="B9" s="50" t="s">
        <v>31</v>
      </c>
      <c r="C9" s="54">
        <f t="shared" si="0"/>
        <v>10.170000000000002</v>
      </c>
      <c r="D9" s="54">
        <v>11.3</v>
      </c>
      <c r="E9" s="50">
        <v>90</v>
      </c>
      <c r="F9" s="54"/>
      <c r="G9" s="54"/>
      <c r="H9" s="54"/>
      <c r="I9" s="54"/>
      <c r="J9" s="57"/>
      <c r="K9" s="54"/>
      <c r="L9" s="54"/>
      <c r="M9" s="54"/>
      <c r="N9" s="54"/>
    </row>
    <row r="10" spans="1:14" ht="12" thickBot="1" x14ac:dyDescent="0.3">
      <c r="A10" s="49" t="s">
        <v>20</v>
      </c>
      <c r="B10" s="50" t="s">
        <v>31</v>
      </c>
      <c r="C10" s="54">
        <f t="shared" si="0"/>
        <v>4.3740000000000006</v>
      </c>
      <c r="D10" s="54">
        <v>4.8600000000000003</v>
      </c>
      <c r="E10" s="50">
        <v>90</v>
      </c>
      <c r="F10" s="54">
        <f>19.5/3.6</f>
        <v>5.416666666666667</v>
      </c>
      <c r="G10" s="54">
        <v>1</v>
      </c>
      <c r="H10" s="54">
        <v>7</v>
      </c>
      <c r="I10" s="54">
        <f t="shared" ref="I10:I15" si="1">F10*(1-G10%)*(1-H10%)-2.4425/3.6*H10%</f>
        <v>4.9396319444444439</v>
      </c>
      <c r="J10" s="57" t="s">
        <v>104</v>
      </c>
      <c r="K10" s="54"/>
      <c r="L10" s="54"/>
      <c r="M10" s="54"/>
      <c r="N10" s="54"/>
    </row>
    <row r="11" spans="1:14" ht="12" thickBot="1" x14ac:dyDescent="0.3">
      <c r="A11" s="49" t="s">
        <v>22</v>
      </c>
      <c r="B11" s="50" t="s">
        <v>31</v>
      </c>
      <c r="C11" s="54">
        <f t="shared" si="0"/>
        <v>3.4255</v>
      </c>
      <c r="D11" s="54">
        <v>4.03</v>
      </c>
      <c r="E11" s="50">
        <v>85</v>
      </c>
      <c r="F11" s="54">
        <f>18.56/3.6</f>
        <v>5.155555555555555</v>
      </c>
      <c r="G11" s="54">
        <v>5</v>
      </c>
      <c r="H11" s="54">
        <v>15</v>
      </c>
      <c r="I11" s="54">
        <f t="shared" si="1"/>
        <v>4.0613402777777772</v>
      </c>
      <c r="J11" s="57" t="s">
        <v>105</v>
      </c>
      <c r="K11" s="54"/>
      <c r="L11" s="54"/>
      <c r="M11" s="54"/>
      <c r="N11" s="54"/>
    </row>
    <row r="12" spans="1:14" ht="35" thickBot="1" x14ac:dyDescent="0.3">
      <c r="A12" s="49" t="s">
        <v>5</v>
      </c>
      <c r="B12" s="50" t="s">
        <v>31</v>
      </c>
      <c r="C12" s="52">
        <f t="shared" si="0"/>
        <v>0.29111972222222232</v>
      </c>
      <c r="D12" s="54">
        <f>I12</f>
        <v>1.0250694444444448</v>
      </c>
      <c r="E12" s="50">
        <v>28.4</v>
      </c>
      <c r="F12" s="54">
        <f>20/3.6</f>
        <v>5.5555555555555554</v>
      </c>
      <c r="G12" s="54">
        <v>10</v>
      </c>
      <c r="H12" s="54">
        <v>70</v>
      </c>
      <c r="I12" s="54">
        <f t="shared" si="1"/>
        <v>1.0250694444444448</v>
      </c>
      <c r="J12" s="57" t="s">
        <v>124</v>
      </c>
      <c r="K12" s="52">
        <f>'Biomasse til RT'!AF24*0.001</f>
        <v>0.34465755500000012</v>
      </c>
      <c r="L12" s="52">
        <f>K12-C12</f>
        <v>5.3537832777777794E-2</v>
      </c>
      <c r="M12" s="54"/>
      <c r="N12" s="54"/>
    </row>
    <row r="13" spans="1:14" ht="12" thickBot="1" x14ac:dyDescent="0.3">
      <c r="A13" s="49" t="s">
        <v>107</v>
      </c>
      <c r="B13" s="50" t="s">
        <v>31</v>
      </c>
      <c r="C13" s="54">
        <f t="shared" si="0"/>
        <v>2.3329548611111108</v>
      </c>
      <c r="D13" s="54">
        <f>I13</f>
        <v>2.7446527777777776</v>
      </c>
      <c r="E13" s="50">
        <v>85</v>
      </c>
      <c r="F13" s="54">
        <f>22.5/3.6</f>
        <v>6.25</v>
      </c>
      <c r="G13" s="54">
        <v>50</v>
      </c>
      <c r="H13" s="54">
        <v>10</v>
      </c>
      <c r="I13" s="54">
        <f t="shared" si="1"/>
        <v>2.7446527777777776</v>
      </c>
      <c r="J13" s="57" t="s">
        <v>112</v>
      </c>
      <c r="K13" s="54"/>
      <c r="L13" s="54"/>
      <c r="M13" s="54"/>
      <c r="N13" s="54"/>
    </row>
    <row r="14" spans="1:14" ht="35" thickBot="1" x14ac:dyDescent="0.3">
      <c r="A14" s="49" t="s">
        <v>108</v>
      </c>
      <c r="B14" s="50" t="s">
        <v>31</v>
      </c>
      <c r="C14" s="53">
        <f t="shared" si="0"/>
        <v>0.16031791666666664</v>
      </c>
      <c r="D14" s="54">
        <f>I14</f>
        <v>0.43329166666666663</v>
      </c>
      <c r="E14" s="50">
        <v>37</v>
      </c>
      <c r="F14" s="54">
        <f>22.5/3.6</f>
        <v>6.25</v>
      </c>
      <c r="G14" s="54">
        <v>30</v>
      </c>
      <c r="H14" s="54">
        <v>78</v>
      </c>
      <c r="I14" s="54">
        <f t="shared" si="1"/>
        <v>0.43329166666666663</v>
      </c>
      <c r="J14" s="57" t="s">
        <v>119</v>
      </c>
      <c r="K14" s="52">
        <f>'Biomasse til RT'!AF37*0.001</f>
        <v>0.18547055300000004</v>
      </c>
      <c r="L14" s="52">
        <f>K14-C14</f>
        <v>2.5152636333333395E-2</v>
      </c>
      <c r="M14" s="54"/>
      <c r="N14" s="54"/>
    </row>
    <row r="15" spans="1:14" ht="23.5" thickBot="1" x14ac:dyDescent="0.3">
      <c r="A15" s="49" t="s">
        <v>109</v>
      </c>
      <c r="B15" s="50" t="s">
        <v>31</v>
      </c>
      <c r="C15" s="53">
        <f t="shared" si="0"/>
        <v>0</v>
      </c>
      <c r="D15" s="54">
        <f>I15</f>
        <v>0.27239583333333339</v>
      </c>
      <c r="E15" s="50">
        <v>0</v>
      </c>
      <c r="F15" s="54">
        <f>22.5/3.6</f>
        <v>6.25</v>
      </c>
      <c r="G15" s="54">
        <v>50</v>
      </c>
      <c r="H15" s="54">
        <v>75</v>
      </c>
      <c r="I15" s="54">
        <f t="shared" si="1"/>
        <v>0.27239583333333339</v>
      </c>
      <c r="J15" s="57" t="s">
        <v>116</v>
      </c>
      <c r="K15" s="54"/>
      <c r="L15" s="54"/>
      <c r="M15" s="54"/>
      <c r="N15" s="54"/>
    </row>
    <row r="16" spans="1:14" x14ac:dyDescent="0.25">
      <c r="A16" s="2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G20"/>
  <sheetViews>
    <sheetView topLeftCell="A4" workbookViewId="0">
      <selection activeCell="G8" sqref="G8"/>
    </sheetView>
  </sheetViews>
  <sheetFormatPr defaultRowHeight="11.5" x14ac:dyDescent="0.25"/>
  <cols>
    <col min="1" max="1" width="18.81640625" customWidth="1"/>
    <col min="2" max="2" width="7.08984375" customWidth="1"/>
    <col min="3" max="3" width="6.6328125" customWidth="1"/>
    <col min="4" max="6" width="15.453125" customWidth="1"/>
    <col min="7" max="7" width="17.36328125" customWidth="1"/>
  </cols>
  <sheetData>
    <row r="3" spans="1:7" ht="12" thickBot="1" x14ac:dyDescent="0.3"/>
    <row r="4" spans="1:7" ht="23" x14ac:dyDescent="0.25">
      <c r="A4" s="62" t="s">
        <v>9</v>
      </c>
      <c r="B4" s="65" t="s">
        <v>1</v>
      </c>
      <c r="C4" s="65" t="s">
        <v>3</v>
      </c>
      <c r="D4" s="65" t="s">
        <v>71</v>
      </c>
      <c r="E4" s="65" t="s">
        <v>71</v>
      </c>
      <c r="F4" s="66" t="s">
        <v>150</v>
      </c>
      <c r="G4" s="66" t="s">
        <v>151</v>
      </c>
    </row>
    <row r="5" spans="1:7" ht="25.5" thickBot="1" x14ac:dyDescent="0.3">
      <c r="A5" s="63" t="s">
        <v>147</v>
      </c>
      <c r="B5" s="60" t="s">
        <v>2</v>
      </c>
      <c r="C5" s="60" t="s">
        <v>159</v>
      </c>
      <c r="D5" s="60" t="s">
        <v>148</v>
      </c>
      <c r="E5" s="60" t="s">
        <v>149</v>
      </c>
      <c r="F5" s="67">
        <v>-0.5</v>
      </c>
      <c r="G5" s="67" t="s">
        <v>152</v>
      </c>
    </row>
    <row r="6" spans="1:7" ht="19.5" customHeight="1" thickBot="1" x14ac:dyDescent="0.3">
      <c r="A6" s="64"/>
      <c r="B6" s="61"/>
      <c r="C6" s="61"/>
      <c r="D6" s="61"/>
      <c r="E6" s="61"/>
      <c r="F6" s="68" t="s">
        <v>4</v>
      </c>
      <c r="G6" s="66" t="s">
        <v>4</v>
      </c>
    </row>
    <row r="7" spans="1:7" ht="23.5" thickBot="1" x14ac:dyDescent="0.3">
      <c r="A7" s="49" t="str">
        <f>'Biomasse til RT'!A23</f>
        <v>Ikke-udrådnet slam, tykslam</v>
      </c>
      <c r="B7" s="70">
        <f>'Biomasse til RT'!C23*100</f>
        <v>6</v>
      </c>
      <c r="C7" s="70">
        <f>'Biomasse til RT'!D23*100</f>
        <v>70</v>
      </c>
      <c r="D7" s="69">
        <f>'Biomasse til RT'!E23</f>
        <v>330</v>
      </c>
      <c r="E7" s="71">
        <f>'Biomasse til RT'!G23</f>
        <v>13.86</v>
      </c>
      <c r="F7" s="71">
        <f>'Biomasse til RT'!L23</f>
        <v>69.092100000000002</v>
      </c>
      <c r="G7" s="71">
        <f>'Biomasse til RT'!AF23</f>
        <v>21.491969000000005</v>
      </c>
    </row>
    <row r="8" spans="1:7" ht="19.5" customHeight="1" thickBot="1" x14ac:dyDescent="0.3">
      <c r="A8" s="49" t="str">
        <f>A7</f>
        <v>Ikke-udrådnet slam, tykslam</v>
      </c>
      <c r="B8" s="70">
        <v>100</v>
      </c>
      <c r="C8" s="70">
        <f>C7</f>
        <v>70</v>
      </c>
      <c r="D8" s="69"/>
      <c r="E8" s="71"/>
      <c r="F8" s="71"/>
      <c r="G8" s="70">
        <f>G7/B7%</f>
        <v>358.19948333333343</v>
      </c>
    </row>
    <row r="9" spans="1:7" ht="12" thickBot="1" x14ac:dyDescent="0.3">
      <c r="A9" s="49" t="str">
        <f>'Biomasse til RT'!A24</f>
        <v>KOD</v>
      </c>
      <c r="B9" s="70">
        <f>'Biomasse til RT'!C24*100</f>
        <v>30</v>
      </c>
      <c r="C9" s="70">
        <f>'Biomasse til RT'!D24*100</f>
        <v>85</v>
      </c>
      <c r="D9" s="69">
        <f>'Biomasse til RT'!E24</f>
        <v>340</v>
      </c>
      <c r="E9" s="71">
        <f>'Biomasse til RT'!G24</f>
        <v>86.7</v>
      </c>
      <c r="F9" s="71">
        <f>'Biomasse til RT'!L24</f>
        <v>432.19950000000006</v>
      </c>
      <c r="G9" s="70">
        <f>'Biomasse til RT'!AF24</f>
        <v>344.65755500000012</v>
      </c>
    </row>
    <row r="10" spans="1:7" ht="12" thickBot="1" x14ac:dyDescent="0.3">
      <c r="A10" s="49" t="str">
        <f>'Biomasse til RT'!A25</f>
        <v>Have- parkaffald</v>
      </c>
      <c r="B10" s="70">
        <f>'Biomasse til RT'!C25*100</f>
        <v>30</v>
      </c>
      <c r="C10" s="70">
        <f>'Biomasse til RT'!D25*100</f>
        <v>90</v>
      </c>
      <c r="D10" s="69">
        <f>'Biomasse til RT'!E25</f>
        <v>175</v>
      </c>
      <c r="E10" s="71">
        <f>'Biomasse til RT'!G25</f>
        <v>47.25</v>
      </c>
      <c r="F10" s="71">
        <f>'Biomasse til RT'!L25</f>
        <v>235.54125000000002</v>
      </c>
      <c r="G10" s="70">
        <f>'Biomasse til RT'!AF25</f>
        <v>169.63171250000002</v>
      </c>
    </row>
    <row r="11" spans="1:7" ht="12" thickBot="1" x14ac:dyDescent="0.3">
      <c r="A11" s="49" t="str">
        <f>'Biomasse til RT'!A26</f>
        <v>Grøftekanter</v>
      </c>
      <c r="B11" s="70">
        <f>'Biomasse til RT'!C26*100</f>
        <v>25</v>
      </c>
      <c r="C11" s="70">
        <f>'Biomasse til RT'!D26*100</f>
        <v>90</v>
      </c>
      <c r="D11" s="69">
        <f>'Biomasse til RT'!E26</f>
        <v>245</v>
      </c>
      <c r="E11" s="71">
        <f>'Biomasse til RT'!G26</f>
        <v>55.125</v>
      </c>
      <c r="F11" s="71">
        <f>'Biomasse til RT'!L26</f>
        <v>274.79812500000003</v>
      </c>
      <c r="G11" s="70">
        <f>'Biomasse til RT'!AF26</f>
        <v>204.57033125000004</v>
      </c>
    </row>
    <row r="12" spans="1:7" ht="12" thickBot="1" x14ac:dyDescent="0.3">
      <c r="A12" s="49" t="str">
        <f>'Biomasse til RT'!A27</f>
        <v>Fiskeindustri</v>
      </c>
      <c r="B12" s="70">
        <f>'Biomasse til RT'!C27*100</f>
        <v>10</v>
      </c>
      <c r="C12" s="70">
        <f>'Biomasse til RT'!D27*100</f>
        <v>95</v>
      </c>
      <c r="D12" s="69">
        <f>'Biomasse til RT'!E27</f>
        <v>600</v>
      </c>
      <c r="E12" s="71">
        <f>'Biomasse til RT'!G27</f>
        <v>57</v>
      </c>
      <c r="F12" s="71">
        <f>'Biomasse til RT'!L27</f>
        <v>284.14500000000004</v>
      </c>
      <c r="G12" s="70">
        <f>'Biomasse til RT'!AF27</f>
        <v>212.88905000000005</v>
      </c>
    </row>
    <row r="13" spans="1:7" ht="12" thickBot="1" x14ac:dyDescent="0.3">
      <c r="A13" s="49" t="str">
        <f>'Biomasse til RT'!A28</f>
        <v>Kartoffelindustri</v>
      </c>
      <c r="B13" s="70">
        <f>'Biomasse til RT'!C28*100</f>
        <v>13</v>
      </c>
      <c r="C13" s="70">
        <f>'Biomasse til RT'!D28*100</f>
        <v>90</v>
      </c>
      <c r="D13" s="69">
        <f>'Biomasse til RT'!E28</f>
        <v>600</v>
      </c>
      <c r="E13" s="71">
        <f>'Biomasse til RT'!G28</f>
        <v>70.2</v>
      </c>
      <c r="F13" s="71">
        <f>'Biomasse til RT'!L28</f>
        <v>349.94700000000006</v>
      </c>
      <c r="G13" s="70">
        <f>'Biomasse til RT'!AF28</f>
        <v>271.45283000000006</v>
      </c>
    </row>
    <row r="14" spans="1:7" ht="12" thickBot="1" x14ac:dyDescent="0.3">
      <c r="A14" s="49" t="str">
        <f>'Biomasse til RT'!A29</f>
        <v>Slagteindustri</v>
      </c>
      <c r="B14" s="70">
        <f>'Biomasse til RT'!C29*100</f>
        <v>15</v>
      </c>
      <c r="C14" s="70">
        <f>'Biomasse til RT'!D29*100</f>
        <v>90</v>
      </c>
      <c r="D14" s="69">
        <f>'Biomasse til RT'!E29</f>
        <v>121</v>
      </c>
      <c r="E14" s="71">
        <f>'Biomasse til RT'!G29</f>
        <v>16.335000000000001</v>
      </c>
      <c r="F14" s="71">
        <f>'Biomasse til RT'!L29</f>
        <v>81.429975000000013</v>
      </c>
      <c r="G14" s="70">
        <f>'Biomasse til RT'!AF29</f>
        <v>32.472677750000017</v>
      </c>
    </row>
    <row r="15" spans="1:7" ht="12" thickBot="1" x14ac:dyDescent="0.3">
      <c r="A15" s="49" t="str">
        <f>'Biomasse til RT'!A30</f>
        <v>Mælkeindustri</v>
      </c>
      <c r="B15" s="70">
        <f>'Biomasse til RT'!C30*100</f>
        <v>14.000000000000002</v>
      </c>
      <c r="C15" s="70">
        <f>'Biomasse til RT'!D30*100</f>
        <v>90</v>
      </c>
      <c r="D15" s="69">
        <f>'Biomasse til RT'!E30</f>
        <v>400</v>
      </c>
      <c r="E15" s="71">
        <f>'Biomasse til RT'!G30</f>
        <v>50.400000000000013</v>
      </c>
      <c r="F15" s="71">
        <f>'Biomasse til RT'!L30</f>
        <v>251.24400000000009</v>
      </c>
      <c r="G15" s="70">
        <f>'Biomasse til RT'!AF30</f>
        <v>183.60716000000011</v>
      </c>
    </row>
    <row r="16" spans="1:7" ht="12" thickBot="1" x14ac:dyDescent="0.3">
      <c r="A16" s="49" t="str">
        <f>'Biomasse til RT'!A31</f>
        <v>Glycerin</v>
      </c>
      <c r="B16" s="70">
        <f>'Biomasse til RT'!C31*100</f>
        <v>87</v>
      </c>
      <c r="C16" s="70">
        <f>'Biomasse til RT'!D31*100</f>
        <v>95</v>
      </c>
      <c r="D16" s="69">
        <f>'Biomasse til RT'!E31</f>
        <v>500</v>
      </c>
      <c r="E16" s="71">
        <f>'Biomasse til RT'!G31</f>
        <v>413.25</v>
      </c>
      <c r="F16" s="71">
        <f>'Biomasse til RT'!L31</f>
        <v>2060.05125</v>
      </c>
      <c r="G16" s="72">
        <f>'Biomasse til RT'!AF31</f>
        <v>1793.4456125000002</v>
      </c>
    </row>
    <row r="17" spans="1:7" ht="28.5" customHeight="1" thickBot="1" x14ac:dyDescent="0.3">
      <c r="A17" s="49" t="str">
        <f>'Biomasse til RT'!A32</f>
        <v>Affald fra service sektoren</v>
      </c>
      <c r="B17" s="70">
        <f>'Biomasse til RT'!C32*100</f>
        <v>15</v>
      </c>
      <c r="C17" s="70">
        <f>'Biomasse til RT'!D32*100</f>
        <v>95</v>
      </c>
      <c r="D17" s="69">
        <f>'Biomasse til RT'!E32</f>
        <v>470</v>
      </c>
      <c r="E17" s="71">
        <f>'Biomasse til RT'!G32</f>
        <v>66.974999999999994</v>
      </c>
      <c r="F17" s="71">
        <f>'Biomasse til RT'!L32</f>
        <v>333.87037499999997</v>
      </c>
      <c r="G17" s="70">
        <f>'Biomasse til RT'!AF32</f>
        <v>257.14463375000003</v>
      </c>
    </row>
    <row r="18" spans="1:7" ht="12" thickBot="1" x14ac:dyDescent="0.3">
      <c r="A18" s="49" t="str">
        <f>'Biomasse til RT'!A33</f>
        <v>Alger</v>
      </c>
      <c r="B18" s="70">
        <f>'Biomasse til RT'!C33*100</f>
        <v>30</v>
      </c>
      <c r="C18" s="70">
        <f>'Biomasse til RT'!D33*100</f>
        <v>90</v>
      </c>
      <c r="D18" s="69">
        <f>'Biomasse til RT'!E33</f>
        <v>200</v>
      </c>
      <c r="E18" s="71">
        <f>'Biomasse til RT'!G33</f>
        <v>54</v>
      </c>
      <c r="F18" s="71">
        <f>'Biomasse til RT'!L33</f>
        <v>269.19</v>
      </c>
      <c r="G18" s="70">
        <f>'Biomasse til RT'!AF33</f>
        <v>199.57910000000004</v>
      </c>
    </row>
    <row r="19" spans="1:7" ht="12" thickBot="1" x14ac:dyDescent="0.3">
      <c r="A19" s="49" t="str">
        <f>'Biomasse til RT'!A34</f>
        <v>Tang</v>
      </c>
      <c r="B19" s="70">
        <f>'Biomasse til RT'!C34*100</f>
        <v>57.999999999999993</v>
      </c>
      <c r="C19" s="70">
        <f>'Biomasse til RT'!D34*100</f>
        <v>90</v>
      </c>
      <c r="D19" s="69">
        <f>'Biomasse til RT'!E34</f>
        <v>21</v>
      </c>
      <c r="E19" s="71">
        <f>'Biomasse til RT'!G34</f>
        <v>10.962</v>
      </c>
      <c r="F19" s="71">
        <f>'Biomasse til RT'!L34</f>
        <v>54.645569999999999</v>
      </c>
      <c r="G19" s="70">
        <f>'Biomasse til RT'!AF34</f>
        <v>8.6345572999999973</v>
      </c>
    </row>
    <row r="20" spans="1:7" ht="12" thickBot="1" x14ac:dyDescent="0.3">
      <c r="A20" s="49" t="str">
        <f>'Biomasse til RT'!A35</f>
        <v>Grødeskær</v>
      </c>
      <c r="B20" s="70">
        <f>'Biomasse til RT'!C35*100</f>
        <v>31</v>
      </c>
      <c r="C20" s="70">
        <f>'Biomasse til RT'!D35*100</f>
        <v>90</v>
      </c>
      <c r="D20" s="69">
        <f>'Biomasse til RT'!E35</f>
        <v>400</v>
      </c>
      <c r="E20" s="71">
        <f>'Biomasse til RT'!G35</f>
        <v>111.60000000000001</v>
      </c>
      <c r="F20" s="71">
        <f>'Biomasse til RT'!L35</f>
        <v>556.32600000000002</v>
      </c>
      <c r="G20" s="70">
        <f>'Biomasse til RT'!AF35</f>
        <v>455.1301400000001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D44"/>
  <sheetViews>
    <sheetView topLeftCell="A25" workbookViewId="0">
      <selection activeCell="A47" sqref="A47"/>
    </sheetView>
  </sheetViews>
  <sheetFormatPr defaultRowHeight="11.5" x14ac:dyDescent="0.25"/>
  <cols>
    <col min="1" max="1" width="21" customWidth="1"/>
    <col min="2" max="2" width="12" customWidth="1"/>
    <col min="3" max="3" width="12.453125" customWidth="1"/>
    <col min="4" max="4" width="52.453125" style="55" customWidth="1"/>
  </cols>
  <sheetData>
    <row r="2" spans="1:4" ht="12" thickBot="1" x14ac:dyDescent="0.3"/>
    <row r="3" spans="1:4" ht="23.5" thickBot="1" x14ac:dyDescent="0.3">
      <c r="A3" s="51" t="s">
        <v>9</v>
      </c>
      <c r="B3" s="51" t="s">
        <v>28</v>
      </c>
      <c r="C3" s="51" t="s">
        <v>97</v>
      </c>
      <c r="D3" s="56" t="s">
        <v>99</v>
      </c>
    </row>
    <row r="4" spans="1:4" ht="12" thickBot="1" x14ac:dyDescent="0.3">
      <c r="A4" s="49" t="str">
        <f>'Energiformer, termisk'!A4</f>
        <v>Metan</v>
      </c>
      <c r="B4" s="50" t="str">
        <f>'Energiformer, termisk'!B4</f>
        <v>kWh/m³</v>
      </c>
      <c r="C4" s="54">
        <f>'Energiformer, termisk'!C4</f>
        <v>8.9730000000000008</v>
      </c>
      <c r="D4" s="57" t="str">
        <f>'Energiformer, termisk'!J4</f>
        <v>100% metan</v>
      </c>
    </row>
    <row r="5" spans="1:4" ht="12" thickBot="1" x14ac:dyDescent="0.3">
      <c r="A5" s="49" t="str">
        <f>'Energiformer, termisk'!A5</f>
        <v>Biogas</v>
      </c>
      <c r="B5" s="50" t="str">
        <f>'Energiformer, termisk'!B5</f>
        <v>kWh/m³</v>
      </c>
      <c r="C5" s="54">
        <f>'Energiformer, termisk'!C5</f>
        <v>5.0830000000000002</v>
      </c>
      <c r="D5" s="57" t="str">
        <f>'Energiformer, termisk'!J5</f>
        <v>60 % metan indhold, renset</v>
      </c>
    </row>
    <row r="6" spans="1:4" ht="12" thickBot="1" x14ac:dyDescent="0.3">
      <c r="A6" s="49" t="str">
        <f>'Energiformer, termisk'!A6</f>
        <v>Naturgas</v>
      </c>
      <c r="B6" s="50" t="str">
        <f>'Energiformer, termisk'!B6</f>
        <v>kWh/m³</v>
      </c>
      <c r="C6" s="54">
        <f>'Energiformer, termisk'!C6</f>
        <v>9.9</v>
      </c>
      <c r="D6" s="57" t="str">
        <f>'Energiformer, termisk'!J6</f>
        <v>Dansk naturgas</v>
      </c>
    </row>
    <row r="7" spans="1:4" ht="12" thickBot="1" x14ac:dyDescent="0.3">
      <c r="A7" s="49" t="str">
        <f>'Energiformer, termisk'!A7</f>
        <v>Bygas</v>
      </c>
      <c r="B7" s="50" t="str">
        <f>'Energiformer, termisk'!B7</f>
        <v>kWh/m³</v>
      </c>
      <c r="C7" s="54">
        <f>'Energiformer, termisk'!C7</f>
        <v>4.7685000000000004</v>
      </c>
      <c r="D7" s="57" t="str">
        <f>'Energiformer, termisk'!J7</f>
        <v>51 % /49 % naturgas/luft</v>
      </c>
    </row>
    <row r="8" spans="1:4" ht="12" thickBot="1" x14ac:dyDescent="0.3">
      <c r="A8" s="49" t="str">
        <f>'Energiformer, termisk'!A8</f>
        <v>Propan (LPG)</v>
      </c>
      <c r="B8" s="50" t="str">
        <f>'Energiformer, termisk'!B8</f>
        <v>MWh/ton</v>
      </c>
      <c r="C8" s="54">
        <f>'Energiformer, termisk'!C8</f>
        <v>11.520000000000001</v>
      </c>
      <c r="D8" s="57">
        <f>'Energiformer, termisk'!J8</f>
        <v>0</v>
      </c>
    </row>
    <row r="9" spans="1:4" ht="12" thickBot="1" x14ac:dyDescent="0.3">
      <c r="A9" s="49" t="str">
        <f>'Energiformer, termisk'!A9</f>
        <v>Gasolie</v>
      </c>
      <c r="B9" s="50" t="str">
        <f>'Energiformer, termisk'!B9</f>
        <v>MWh/ton</v>
      </c>
      <c r="C9" s="54">
        <f>'Energiformer, termisk'!C9</f>
        <v>10.170000000000002</v>
      </c>
      <c r="D9" s="57">
        <f>'Energiformer, termisk'!J9</f>
        <v>0</v>
      </c>
    </row>
    <row r="10" spans="1:4" ht="12" thickBot="1" x14ac:dyDescent="0.3">
      <c r="A10" s="49" t="str">
        <f>'Energiformer, termisk'!A10</f>
        <v>Træpiller</v>
      </c>
      <c r="B10" s="50" t="str">
        <f>'Energiformer, termisk'!B10</f>
        <v>MWh/ton</v>
      </c>
      <c r="C10" s="54">
        <f>'Energiformer, termisk'!C10</f>
        <v>4.3740000000000006</v>
      </c>
      <c r="D10" s="57" t="str">
        <f>'Energiformer, termisk'!J10</f>
        <v>Vandindhold: 7 %</v>
      </c>
    </row>
    <row r="11" spans="1:4" ht="12" thickBot="1" x14ac:dyDescent="0.3">
      <c r="A11" s="49" t="str">
        <f>'Energiformer, termisk'!A11</f>
        <v>Halm</v>
      </c>
      <c r="B11" s="50" t="str">
        <f>'Energiformer, termisk'!B11</f>
        <v>MWh/ton</v>
      </c>
      <c r="C11" s="54">
        <f>'Energiformer, termisk'!C11</f>
        <v>3.4255</v>
      </c>
      <c r="D11" s="57" t="str">
        <f>'Energiformer, termisk'!J11</f>
        <v>Vandindhold: 15 %</v>
      </c>
    </row>
    <row r="12" spans="1:4" ht="40.5" customHeight="1" thickBot="1" x14ac:dyDescent="0.3">
      <c r="A12" s="49" t="str">
        <f>'Energiformer, termisk'!A12</f>
        <v>KOD</v>
      </c>
      <c r="B12" s="50" t="str">
        <f>'Energiformer, termisk'!B12</f>
        <v>MWh/ton</v>
      </c>
      <c r="C12" s="54">
        <f>'Energiformer, termisk'!C12</f>
        <v>0.29111972222222232</v>
      </c>
      <c r="D12" s="57" t="str">
        <f>'Energiformer, termisk'!J12</f>
        <v xml:space="preserve">10% aske af TS (90% VS), 30% TS. Kan opnå 130% virkningsgrad i forbrændingsanlæg med røggaskondensering, men her regnes samme som RT. </v>
      </c>
    </row>
    <row r="13" spans="1:4" ht="12" thickBot="1" x14ac:dyDescent="0.3">
      <c r="A13" s="49" t="str">
        <f>'Energiformer, termisk'!A13</f>
        <v xml:space="preserve">Tørret slam </v>
      </c>
      <c r="B13" s="50" t="str">
        <f>'Energiformer, termisk'!B13</f>
        <v>MWh/ton</v>
      </c>
      <c r="C13" s="54">
        <f>'Energiformer, termisk'!C13</f>
        <v>2.3329548611111108</v>
      </c>
      <c r="D13" s="57" t="str">
        <f>'Energiformer, termisk'!J13</f>
        <v>50% VS, 90% TS</v>
      </c>
    </row>
    <row r="14" spans="1:4" ht="27" customHeight="1" thickBot="1" x14ac:dyDescent="0.3">
      <c r="A14" s="49" t="str">
        <f>'Energiformer, termisk'!A14</f>
        <v>Spildevandsslam, ikke-udrådnet</v>
      </c>
      <c r="B14" s="50" t="str">
        <f>'Energiformer, termisk'!B14</f>
        <v>MWh/ton</v>
      </c>
      <c r="C14" s="54">
        <f>'Energiformer, termisk'!C14</f>
        <v>0.16031791666666664</v>
      </c>
      <c r="D14" s="57" t="str">
        <f>'Energiformer, termisk'!J14</f>
        <v>70% VS, 22% TS, virkningsgrad, så output svarer til RT</v>
      </c>
    </row>
    <row r="15" spans="1:4" ht="27" customHeight="1" thickBot="1" x14ac:dyDescent="0.3">
      <c r="A15" s="49" t="str">
        <f>'Energiformer, termisk'!A15</f>
        <v>Spildevandsslam, udrådnet</v>
      </c>
      <c r="B15" s="50" t="str">
        <f>'Energiformer, termisk'!B15</f>
        <v>MWh/ton</v>
      </c>
      <c r="C15" s="54">
        <f>'Energiformer, termisk'!C15</f>
        <v>0</v>
      </c>
      <c r="D15" s="57" t="str">
        <f>'Energiformer, termisk'!J15</f>
        <v>50% VS, 25% TS</v>
      </c>
    </row>
    <row r="16" spans="1:4" ht="23.5" thickBot="1" x14ac:dyDescent="0.3">
      <c r="A16" s="49" t="str">
        <f>'Biomasse til RT'!A23</f>
        <v>Ikke-udrådnet slam, tykslam</v>
      </c>
      <c r="B16" s="50" t="s">
        <v>31</v>
      </c>
      <c r="C16" s="52">
        <f>'Biomasse til RT'!AF23*0.001</f>
        <v>2.1491969000000007E-2</v>
      </c>
      <c r="D16" s="57" t="s">
        <v>121</v>
      </c>
    </row>
    <row r="17" spans="1:4" ht="12" thickBot="1" x14ac:dyDescent="0.3">
      <c r="A17" s="49" t="str">
        <f>'Biomasse til RT'!A24</f>
        <v>KOD</v>
      </c>
      <c r="B17" s="50" t="s">
        <v>31</v>
      </c>
      <c r="C17" s="52">
        <f>'Biomasse til RT'!AF24*0.001</f>
        <v>0.34465755500000012</v>
      </c>
      <c r="D17" s="57" t="s">
        <v>122</v>
      </c>
    </row>
    <row r="18" spans="1:4" ht="12" thickBot="1" x14ac:dyDescent="0.3">
      <c r="A18" s="49" t="str">
        <f>'Biomasse til RT'!A25</f>
        <v>Have- parkaffald</v>
      </c>
      <c r="B18" s="50" t="s">
        <v>31</v>
      </c>
      <c r="C18" s="52">
        <f>'Biomasse til RT'!AF25*0.001</f>
        <v>0.16963171250000003</v>
      </c>
      <c r="D18" s="57" t="s">
        <v>122</v>
      </c>
    </row>
    <row r="19" spans="1:4" ht="12" thickBot="1" x14ac:dyDescent="0.3">
      <c r="A19" s="49" t="str">
        <f>'Biomasse til RT'!A26</f>
        <v>Grøftekanter</v>
      </c>
      <c r="B19" s="50" t="s">
        <v>31</v>
      </c>
      <c r="C19" s="52">
        <f>'Biomasse til RT'!AF26*0.001</f>
        <v>0.20457033125000004</v>
      </c>
      <c r="D19" s="57" t="s">
        <v>123</v>
      </c>
    </row>
    <row r="20" spans="1:4" ht="12" thickBot="1" x14ac:dyDescent="0.3">
      <c r="A20" s="49" t="str">
        <f>'Biomasse til RT'!A27</f>
        <v>Fiskeindustri</v>
      </c>
      <c r="B20" s="50" t="s">
        <v>31</v>
      </c>
      <c r="C20" s="52">
        <f>'Biomasse til RT'!AF27*0.001</f>
        <v>0.21288905000000005</v>
      </c>
      <c r="D20" s="57"/>
    </row>
    <row r="21" spans="1:4" ht="12" thickBot="1" x14ac:dyDescent="0.3">
      <c r="A21" s="49" t="str">
        <f>'Biomasse til RT'!A28</f>
        <v>Kartoffelindustri</v>
      </c>
      <c r="B21" s="50" t="s">
        <v>31</v>
      </c>
      <c r="C21" s="52">
        <f>'Biomasse til RT'!AF28*0.001</f>
        <v>0.27145283000000009</v>
      </c>
      <c r="D21" s="57"/>
    </row>
    <row r="22" spans="1:4" ht="12" thickBot="1" x14ac:dyDescent="0.3">
      <c r="A22" s="49" t="str">
        <f>'Biomasse til RT'!A29</f>
        <v>Slagteindustri</v>
      </c>
      <c r="B22" s="50" t="s">
        <v>31</v>
      </c>
      <c r="C22" s="52">
        <f>'Biomasse til RT'!AF29*0.001</f>
        <v>3.2472677750000019E-2</v>
      </c>
      <c r="D22" s="57"/>
    </row>
    <row r="23" spans="1:4" ht="12" thickBot="1" x14ac:dyDescent="0.3">
      <c r="A23" s="49" t="str">
        <f>'Biomasse til RT'!A30</f>
        <v>Mælkeindustri</v>
      </c>
      <c r="B23" s="50" t="s">
        <v>31</v>
      </c>
      <c r="C23" s="52">
        <f>'Biomasse til RT'!AF30*0.001</f>
        <v>0.1836071600000001</v>
      </c>
      <c r="D23" s="57"/>
    </row>
    <row r="24" spans="1:4" ht="12" thickBot="1" x14ac:dyDescent="0.3">
      <c r="A24" s="49" t="str">
        <f>'Biomasse til RT'!A31</f>
        <v>Glycerin</v>
      </c>
      <c r="B24" s="50" t="s">
        <v>31</v>
      </c>
      <c r="C24" s="52">
        <f>'Biomasse til RT'!AF31*0.001</f>
        <v>1.7934456125000002</v>
      </c>
      <c r="D24" s="57"/>
    </row>
    <row r="25" spans="1:4" ht="23.5" thickBot="1" x14ac:dyDescent="0.3">
      <c r="A25" s="49" t="str">
        <f>'Biomasse til RT'!A32</f>
        <v>Affald fra service sektoren</v>
      </c>
      <c r="B25" s="50" t="s">
        <v>31</v>
      </c>
      <c r="C25" s="52">
        <f>'Biomasse til RT'!AF32*0.001</f>
        <v>0.25714463375000002</v>
      </c>
      <c r="D25" s="57"/>
    </row>
    <row r="26" spans="1:4" ht="12" thickBot="1" x14ac:dyDescent="0.3">
      <c r="A26" s="49" t="str">
        <f>'Biomasse til RT'!A33</f>
        <v>Alger</v>
      </c>
      <c r="B26" s="50" t="s">
        <v>31</v>
      </c>
      <c r="C26" s="52">
        <f>'Biomasse til RT'!AF33*0.001</f>
        <v>0.19957910000000004</v>
      </c>
      <c r="D26" s="57"/>
    </row>
    <row r="27" spans="1:4" ht="12" thickBot="1" x14ac:dyDescent="0.3">
      <c r="A27" s="49" t="str">
        <f>'Biomasse til RT'!A34</f>
        <v>Tang</v>
      </c>
      <c r="B27" s="50" t="s">
        <v>31</v>
      </c>
      <c r="C27" s="52">
        <f>'Biomasse til RT'!AF34*0.001</f>
        <v>8.6345572999999981E-3</v>
      </c>
      <c r="D27" s="57"/>
    </row>
    <row r="28" spans="1:4" ht="12" thickBot="1" x14ac:dyDescent="0.3">
      <c r="A28" s="49" t="str">
        <f>'Biomasse til RT'!A35</f>
        <v>Grødeskær</v>
      </c>
      <c r="B28" s="50" t="s">
        <v>31</v>
      </c>
      <c r="C28" s="52">
        <f>'Biomasse til RT'!AF35*0.001</f>
        <v>0.45513014000000013</v>
      </c>
      <c r="D28" s="57"/>
    </row>
    <row r="29" spans="1:4" ht="12" thickBot="1" x14ac:dyDescent="0.3">
      <c r="A29" s="49">
        <f>'Biomasse til RT'!A36</f>
        <v>0</v>
      </c>
      <c r="B29" s="50" t="s">
        <v>31</v>
      </c>
      <c r="C29" s="52">
        <f>'Biomasse til RT'!AF36*0.001</f>
        <v>0</v>
      </c>
      <c r="D29" s="57"/>
    </row>
    <row r="30" spans="1:4" ht="27" customHeight="1" thickBot="1" x14ac:dyDescent="0.3">
      <c r="A30" s="49" t="str">
        <f>'Biomasse til RT'!A37</f>
        <v xml:space="preserve">Ikke-udrådnet slam, afvandet slam </v>
      </c>
      <c r="B30" s="50" t="s">
        <v>31</v>
      </c>
      <c r="C30" s="52">
        <f>'Biomasse til RT'!AF37*0.001</f>
        <v>0.18547055300000004</v>
      </c>
      <c r="D30" s="57" t="s">
        <v>120</v>
      </c>
    </row>
    <row r="31" spans="1:4" ht="12" thickBot="1" x14ac:dyDescent="0.3">
      <c r="A31" s="49">
        <f>'Biomasse til RT'!A38</f>
        <v>0</v>
      </c>
      <c r="B31" s="50" t="s">
        <v>31</v>
      </c>
      <c r="C31" s="52" t="e">
        <f>'Biomasse til RT'!AF38*0.001</f>
        <v>#DIV/0!</v>
      </c>
      <c r="D31" s="57"/>
    </row>
    <row r="32" spans="1:4" ht="12" thickBot="1" x14ac:dyDescent="0.3">
      <c r="A32" s="49">
        <f>'Biomasse til RT'!A39</f>
        <v>0</v>
      </c>
      <c r="B32" s="50" t="s">
        <v>31</v>
      </c>
      <c r="C32" s="52" t="e">
        <f>'Biomasse til RT'!AF39*0.001</f>
        <v>#DIV/0!</v>
      </c>
      <c r="D32" s="57"/>
    </row>
    <row r="33" spans="1:4" ht="12" thickBot="1" x14ac:dyDescent="0.3">
      <c r="A33" s="49">
        <f>'Energiformer, termisk'!A33</f>
        <v>0</v>
      </c>
      <c r="B33" s="50">
        <f>'Energiformer, termisk'!B33</f>
        <v>0</v>
      </c>
      <c r="C33" s="54">
        <f>'Energiformer, termisk'!C33</f>
        <v>0</v>
      </c>
      <c r="D33" s="57"/>
    </row>
    <row r="34" spans="1:4" ht="12" thickBot="1" x14ac:dyDescent="0.3">
      <c r="A34" s="49">
        <f>'Energiformer, termisk'!A34</f>
        <v>0</v>
      </c>
      <c r="B34" s="50">
        <f>'Energiformer, termisk'!B34</f>
        <v>0</v>
      </c>
      <c r="C34" s="54">
        <f>'Energiformer, termisk'!C34</f>
        <v>0</v>
      </c>
      <c r="D34" s="57"/>
    </row>
    <row r="35" spans="1:4" ht="12" thickBot="1" x14ac:dyDescent="0.3">
      <c r="A35" s="49">
        <f>'Energiformer, termisk'!A35</f>
        <v>0</v>
      </c>
      <c r="B35" s="50">
        <f>'Energiformer, termisk'!B35</f>
        <v>0</v>
      </c>
      <c r="C35" s="54">
        <f>'Energiformer, termisk'!C35</f>
        <v>0</v>
      </c>
      <c r="D35" s="57">
        <f>'Energiformer, termisk'!J35</f>
        <v>0</v>
      </c>
    </row>
    <row r="36" spans="1:4" ht="12" thickBot="1" x14ac:dyDescent="0.3">
      <c r="A36" s="49">
        <f>'Energiformer, termisk'!A36</f>
        <v>0</v>
      </c>
      <c r="B36" s="50">
        <f>'Energiformer, termisk'!B36</f>
        <v>0</v>
      </c>
      <c r="C36" s="54">
        <f>'Energiformer, termisk'!C36</f>
        <v>0</v>
      </c>
      <c r="D36" s="57">
        <f>'Energiformer, termisk'!J36</f>
        <v>0</v>
      </c>
    </row>
    <row r="37" spans="1:4" ht="12" thickBot="1" x14ac:dyDescent="0.3">
      <c r="A37" s="49">
        <f>'Energiformer, termisk'!A37</f>
        <v>0</v>
      </c>
      <c r="B37" s="50">
        <f>'Energiformer, termisk'!B37</f>
        <v>0</v>
      </c>
      <c r="C37" s="54">
        <f>'Energiformer, termisk'!C37</f>
        <v>0</v>
      </c>
      <c r="D37" s="57">
        <f>'Energiformer, termisk'!J37</f>
        <v>0</v>
      </c>
    </row>
    <row r="38" spans="1:4" ht="12" thickBot="1" x14ac:dyDescent="0.3">
      <c r="A38" s="49">
        <f>'Energiformer, termisk'!A38</f>
        <v>0</v>
      </c>
      <c r="B38" s="50">
        <f>'Energiformer, termisk'!B38</f>
        <v>0</v>
      </c>
      <c r="C38" s="54">
        <f>'Energiformer, termisk'!C38</f>
        <v>0</v>
      </c>
      <c r="D38" s="57">
        <f>'Energiformer, termisk'!J38</f>
        <v>0</v>
      </c>
    </row>
    <row r="39" spans="1:4" ht="12" thickBot="1" x14ac:dyDescent="0.3">
      <c r="A39" s="49">
        <f>'Energiformer, termisk'!A39</f>
        <v>0</v>
      </c>
      <c r="B39" s="50">
        <f>'Energiformer, termisk'!B39</f>
        <v>0</v>
      </c>
      <c r="C39" s="54">
        <f>'Energiformer, termisk'!C39</f>
        <v>0</v>
      </c>
      <c r="D39" s="57">
        <f>'Energiformer, termisk'!J39</f>
        <v>0</v>
      </c>
    </row>
    <row r="40" spans="1:4" ht="12" thickBot="1" x14ac:dyDescent="0.3">
      <c r="A40" s="49">
        <f>'Energiformer, termisk'!A40</f>
        <v>0</v>
      </c>
      <c r="B40" s="50">
        <f>'Energiformer, termisk'!B40</f>
        <v>0</v>
      </c>
      <c r="C40" s="54">
        <f>'Energiformer, termisk'!C40</f>
        <v>0</v>
      </c>
      <c r="D40" s="57">
        <f>'Energiformer, termisk'!J40</f>
        <v>0</v>
      </c>
    </row>
    <row r="41" spans="1:4" ht="12" thickBot="1" x14ac:dyDescent="0.3">
      <c r="A41" s="49">
        <f>'Energiformer, termisk'!A41</f>
        <v>0</v>
      </c>
      <c r="B41" s="50">
        <f>'Energiformer, termisk'!B41</f>
        <v>0</v>
      </c>
      <c r="C41" s="54">
        <f>'Energiformer, termisk'!C41</f>
        <v>0</v>
      </c>
      <c r="D41" s="57">
        <f>'Energiformer, termisk'!J41</f>
        <v>0</v>
      </c>
    </row>
    <row r="42" spans="1:4" ht="12" thickBot="1" x14ac:dyDescent="0.3">
      <c r="A42" s="49">
        <f>'Energiformer, termisk'!A42</f>
        <v>0</v>
      </c>
      <c r="B42" s="50">
        <f>'Energiformer, termisk'!B42</f>
        <v>0</v>
      </c>
      <c r="C42" s="54">
        <f>'Energiformer, termisk'!C42</f>
        <v>0</v>
      </c>
      <c r="D42" s="57">
        <f>'Energiformer, termisk'!J42</f>
        <v>0</v>
      </c>
    </row>
    <row r="43" spans="1:4" ht="12" thickBot="1" x14ac:dyDescent="0.3">
      <c r="A43" s="49">
        <f>'Energiformer, termisk'!A43</f>
        <v>0</v>
      </c>
      <c r="B43" s="50">
        <f>'Energiformer, termisk'!B43</f>
        <v>0</v>
      </c>
      <c r="C43" s="54">
        <f>'Energiformer, termisk'!C43</f>
        <v>0</v>
      </c>
      <c r="D43" s="57">
        <f>'Energiformer, termisk'!J43</f>
        <v>0</v>
      </c>
    </row>
    <row r="44" spans="1:4" ht="12" thickBot="1" x14ac:dyDescent="0.3">
      <c r="A44" s="49">
        <f>'Energiformer, termisk'!A44</f>
        <v>0</v>
      </c>
      <c r="B44" s="50">
        <f>'Energiformer, termisk'!B44</f>
        <v>0</v>
      </c>
      <c r="C44" s="54">
        <f>'Energiformer, termisk'!C44</f>
        <v>0</v>
      </c>
      <c r="D44" s="57">
        <f>'Energiformer, termisk'!J44</f>
        <v>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E11"/>
  <sheetViews>
    <sheetView workbookViewId="0">
      <selection activeCell="C30" sqref="C30"/>
    </sheetView>
  </sheetViews>
  <sheetFormatPr defaultRowHeight="11.5" x14ac:dyDescent="0.25"/>
  <cols>
    <col min="1" max="1" width="5.26953125" bestFit="1" customWidth="1"/>
    <col min="2" max="2" width="75.26953125" bestFit="1" customWidth="1"/>
    <col min="3" max="3" width="48.26953125" bestFit="1" customWidth="1"/>
    <col min="4" max="4" width="26.81640625" bestFit="1" customWidth="1"/>
    <col min="5" max="5" width="28.6328125" bestFit="1" customWidth="1"/>
  </cols>
  <sheetData>
    <row r="2" spans="1:5" x14ac:dyDescent="0.25">
      <c r="A2" s="3" t="s">
        <v>41</v>
      </c>
      <c r="B2" t="s">
        <v>130</v>
      </c>
      <c r="C2" t="s">
        <v>131</v>
      </c>
      <c r="D2" t="s">
        <v>135</v>
      </c>
      <c r="E2" t="s">
        <v>132</v>
      </c>
    </row>
    <row r="3" spans="1:5" x14ac:dyDescent="0.25">
      <c r="A3">
        <v>1</v>
      </c>
      <c r="B3" t="s">
        <v>142</v>
      </c>
      <c r="C3" t="s">
        <v>143</v>
      </c>
      <c r="D3" t="s">
        <v>144</v>
      </c>
      <c r="E3" s="55">
        <v>2013</v>
      </c>
    </row>
    <row r="4" spans="1:5" x14ac:dyDescent="0.25">
      <c r="A4">
        <v>2</v>
      </c>
      <c r="B4" t="s">
        <v>125</v>
      </c>
      <c r="C4" t="s">
        <v>126</v>
      </c>
      <c r="D4" t="s">
        <v>134</v>
      </c>
      <c r="E4" t="s">
        <v>127</v>
      </c>
    </row>
    <row r="5" spans="1:5" x14ac:dyDescent="0.25">
      <c r="A5">
        <v>3</v>
      </c>
      <c r="B5" t="s">
        <v>128</v>
      </c>
      <c r="C5" s="58" t="s">
        <v>133</v>
      </c>
      <c r="D5" s="58"/>
      <c r="E5" s="58" t="s">
        <v>133</v>
      </c>
    </row>
    <row r="6" spans="1:5" x14ac:dyDescent="0.25">
      <c r="A6">
        <v>4</v>
      </c>
      <c r="B6" t="s">
        <v>129</v>
      </c>
      <c r="C6" t="s">
        <v>136</v>
      </c>
      <c r="D6" t="s">
        <v>137</v>
      </c>
      <c r="E6" s="55">
        <v>2010</v>
      </c>
    </row>
    <row r="7" spans="1:5" x14ac:dyDescent="0.25">
      <c r="A7">
        <v>5</v>
      </c>
      <c r="B7" t="s">
        <v>138</v>
      </c>
      <c r="C7" t="s">
        <v>139</v>
      </c>
      <c r="D7" t="s">
        <v>140</v>
      </c>
      <c r="E7" s="59" t="s">
        <v>141</v>
      </c>
    </row>
    <row r="8" spans="1:5" x14ac:dyDescent="0.25">
      <c r="A8">
        <v>6</v>
      </c>
    </row>
    <row r="9" spans="1:5" x14ac:dyDescent="0.25">
      <c r="A9">
        <v>7</v>
      </c>
    </row>
    <row r="10" spans="1:5" x14ac:dyDescent="0.25">
      <c r="A10">
        <v>8</v>
      </c>
    </row>
    <row r="11" spans="1:5" x14ac:dyDescent="0.25">
      <c r="A11">
        <v>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5:T31"/>
  <sheetViews>
    <sheetView workbookViewId="0"/>
  </sheetViews>
  <sheetFormatPr defaultRowHeight="11.5" x14ac:dyDescent="0.25"/>
  <sheetData>
    <row r="5" spans="1:20" x14ac:dyDescent="0.25">
      <c r="A5" t="s">
        <v>0</v>
      </c>
      <c r="B5" t="s">
        <v>42</v>
      </c>
      <c r="C5" s="74" t="s">
        <v>1</v>
      </c>
      <c r="D5" s="74" t="s">
        <v>3</v>
      </c>
      <c r="E5" s="74" t="s">
        <v>71</v>
      </c>
      <c r="F5" s="74" t="s">
        <v>41</v>
      </c>
      <c r="G5" t="s">
        <v>80</v>
      </c>
      <c r="H5" t="s">
        <v>78</v>
      </c>
      <c r="I5" t="s">
        <v>43</v>
      </c>
      <c r="J5" t="s">
        <v>86</v>
      </c>
      <c r="L5" t="s">
        <v>52</v>
      </c>
      <c r="O5" t="s">
        <v>50</v>
      </c>
      <c r="Q5" t="s">
        <v>92</v>
      </c>
      <c r="T5" t="s">
        <v>60</v>
      </c>
    </row>
    <row r="6" spans="1:20" x14ac:dyDescent="0.25">
      <c r="H6" t="s">
        <v>57</v>
      </c>
      <c r="I6" t="s">
        <v>57</v>
      </c>
      <c r="J6" t="s">
        <v>87</v>
      </c>
      <c r="K6" t="s">
        <v>88</v>
      </c>
      <c r="T6" t="s">
        <v>62</v>
      </c>
    </row>
    <row r="7" spans="1:20" x14ac:dyDescent="0.25">
      <c r="G7" s="74" t="s">
        <v>71</v>
      </c>
      <c r="H7" s="74" t="s">
        <v>16</v>
      </c>
      <c r="I7" s="74" t="s">
        <v>85</v>
      </c>
      <c r="J7" s="74"/>
      <c r="K7" s="74"/>
      <c r="L7" s="74" t="s">
        <v>53</v>
      </c>
      <c r="M7" s="74" t="s">
        <v>47</v>
      </c>
      <c r="N7" s="74" t="s">
        <v>46</v>
      </c>
      <c r="O7" s="74" t="s">
        <v>53</v>
      </c>
      <c r="P7" s="74"/>
      <c r="Q7" s="74" t="s">
        <v>47</v>
      </c>
      <c r="R7" s="74" t="s">
        <v>90</v>
      </c>
      <c r="S7" s="74" t="s">
        <v>91</v>
      </c>
      <c r="T7" s="74" t="s">
        <v>59</v>
      </c>
    </row>
    <row r="8" spans="1:20" s="74" customFormat="1" x14ac:dyDescent="0.25">
      <c r="B8" s="74" t="s">
        <v>44</v>
      </c>
      <c r="C8" s="74" t="s">
        <v>2</v>
      </c>
      <c r="D8" s="74" t="s">
        <v>2</v>
      </c>
      <c r="E8" s="74" t="s">
        <v>165</v>
      </c>
      <c r="G8" s="74" t="s">
        <v>166</v>
      </c>
      <c r="H8" s="74" t="s">
        <v>84</v>
      </c>
      <c r="I8" s="74" t="s">
        <v>4</v>
      </c>
      <c r="J8" s="74" t="s">
        <v>4</v>
      </c>
      <c r="K8" s="74" t="s">
        <v>4</v>
      </c>
      <c r="L8" s="74" t="s">
        <v>2</v>
      </c>
      <c r="M8" s="74" t="s">
        <v>4</v>
      </c>
      <c r="N8" s="74" t="s">
        <v>4</v>
      </c>
      <c r="O8" s="74" t="s">
        <v>2</v>
      </c>
      <c r="P8" s="74" t="s">
        <v>4</v>
      </c>
      <c r="Q8" s="74" t="s">
        <v>4</v>
      </c>
      <c r="R8" s="74" t="s">
        <v>4</v>
      </c>
      <c r="S8" s="74" t="s">
        <v>4</v>
      </c>
      <c r="T8" s="74" t="s">
        <v>4</v>
      </c>
    </row>
    <row r="9" spans="1:20" x14ac:dyDescent="0.25">
      <c r="A9" t="s">
        <v>164</v>
      </c>
      <c r="B9">
        <v>1</v>
      </c>
      <c r="C9">
        <v>0.06</v>
      </c>
      <c r="D9">
        <v>0.7</v>
      </c>
      <c r="E9">
        <v>330</v>
      </c>
      <c r="F9">
        <v>1</v>
      </c>
      <c r="G9" s="19">
        <v>13.86</v>
      </c>
      <c r="H9" s="19">
        <v>6.93</v>
      </c>
      <c r="I9" s="19">
        <v>69.092100000000002</v>
      </c>
      <c r="J9">
        <v>-25</v>
      </c>
      <c r="K9">
        <v>-15</v>
      </c>
      <c r="L9">
        <v>20</v>
      </c>
      <c r="M9" s="19">
        <v>6.9092100000000007</v>
      </c>
      <c r="N9" s="19">
        <v>4.8364469999999997</v>
      </c>
      <c r="O9">
        <v>80</v>
      </c>
      <c r="P9" s="19">
        <v>49.746312000000003</v>
      </c>
      <c r="Q9" s="19">
        <v>-18.090789999999998</v>
      </c>
      <c r="R9" s="19">
        <v>-10.163553</v>
      </c>
      <c r="S9" s="19">
        <v>49.746312000000003</v>
      </c>
      <c r="T9" s="19">
        <v>21.491969000000005</v>
      </c>
    </row>
    <row r="10" spans="1:20" x14ac:dyDescent="0.25">
      <c r="A10" t="s">
        <v>5</v>
      </c>
      <c r="B10">
        <v>1</v>
      </c>
      <c r="C10">
        <v>0.3</v>
      </c>
      <c r="D10">
        <v>0.85</v>
      </c>
      <c r="E10">
        <v>340</v>
      </c>
      <c r="F10">
        <v>2</v>
      </c>
      <c r="G10" s="19">
        <v>86.7</v>
      </c>
      <c r="H10" s="19">
        <v>43.35</v>
      </c>
      <c r="I10" s="19">
        <v>432.19950000000006</v>
      </c>
      <c r="J10">
        <v>-25</v>
      </c>
      <c r="K10">
        <v>-15</v>
      </c>
      <c r="L10">
        <v>20</v>
      </c>
      <c r="M10" s="19">
        <v>43.219950000000011</v>
      </c>
      <c r="N10" s="19">
        <v>30.253965000000001</v>
      </c>
      <c r="O10">
        <v>80</v>
      </c>
      <c r="P10" s="19">
        <v>311.18364000000008</v>
      </c>
      <c r="Q10" s="19">
        <v>18.219950000000011</v>
      </c>
      <c r="R10" s="19">
        <v>15.253965000000001</v>
      </c>
      <c r="S10" s="19">
        <v>311.18364000000008</v>
      </c>
      <c r="T10" s="19">
        <v>344.65755500000012</v>
      </c>
    </row>
    <row r="11" spans="1:20" x14ac:dyDescent="0.25">
      <c r="A11" t="s">
        <v>6</v>
      </c>
      <c r="B11">
        <v>1</v>
      </c>
      <c r="C11">
        <v>0.3</v>
      </c>
      <c r="D11">
        <v>0.9</v>
      </c>
      <c r="E11">
        <v>175</v>
      </c>
      <c r="F11">
        <v>2</v>
      </c>
      <c r="G11" s="19">
        <v>47.25</v>
      </c>
      <c r="H11" s="19">
        <v>23.625</v>
      </c>
      <c r="I11" s="19">
        <v>235.54125000000002</v>
      </c>
      <c r="J11">
        <v>-25</v>
      </c>
      <c r="K11">
        <v>-15</v>
      </c>
      <c r="L11">
        <v>20</v>
      </c>
      <c r="M11" s="19">
        <v>23.554125000000003</v>
      </c>
      <c r="N11" s="19">
        <v>16.487887499999999</v>
      </c>
      <c r="O11">
        <v>80</v>
      </c>
      <c r="P11" s="19">
        <v>169.58970000000002</v>
      </c>
      <c r="Q11" s="19">
        <v>-1.4458749999999974</v>
      </c>
      <c r="R11" s="19">
        <v>1.4878874999999994</v>
      </c>
      <c r="S11" s="19">
        <v>169.58970000000002</v>
      </c>
      <c r="T11" s="19">
        <v>169.63171250000002</v>
      </c>
    </row>
    <row r="12" spans="1:20" x14ac:dyDescent="0.25">
      <c r="A12" t="s">
        <v>7</v>
      </c>
      <c r="B12">
        <v>1</v>
      </c>
      <c r="C12">
        <v>0.25</v>
      </c>
      <c r="D12">
        <v>0.9</v>
      </c>
      <c r="E12">
        <v>245</v>
      </c>
      <c r="F12">
        <v>2</v>
      </c>
      <c r="G12" s="19">
        <v>55.125</v>
      </c>
      <c r="H12" s="19">
        <v>27.5625</v>
      </c>
      <c r="I12" s="19">
        <v>274.79812500000003</v>
      </c>
      <c r="J12">
        <v>-25</v>
      </c>
      <c r="K12">
        <v>-15</v>
      </c>
      <c r="L12">
        <v>20</v>
      </c>
      <c r="M12" s="19">
        <v>27.479812500000005</v>
      </c>
      <c r="N12" s="19">
        <v>19.235868750000002</v>
      </c>
      <c r="O12">
        <v>80</v>
      </c>
      <c r="P12" s="19">
        <v>197.85465000000002</v>
      </c>
      <c r="Q12" s="19">
        <v>2.4798125000000049</v>
      </c>
      <c r="R12" s="19">
        <v>4.2358687500000016</v>
      </c>
      <c r="S12" s="19">
        <v>197.85465000000002</v>
      </c>
      <c r="T12" s="19">
        <v>204.57033125000004</v>
      </c>
    </row>
    <row r="13" spans="1:20" x14ac:dyDescent="0.25">
      <c r="A13" t="s">
        <v>32</v>
      </c>
      <c r="B13">
        <v>1</v>
      </c>
      <c r="C13">
        <v>0.1</v>
      </c>
      <c r="D13">
        <v>0.95</v>
      </c>
      <c r="E13">
        <v>600</v>
      </c>
      <c r="F13">
        <v>3</v>
      </c>
      <c r="G13" s="19">
        <v>57</v>
      </c>
      <c r="H13" s="19">
        <v>28.5</v>
      </c>
      <c r="I13" s="19">
        <v>284.14500000000004</v>
      </c>
      <c r="J13">
        <v>-25</v>
      </c>
      <c r="K13">
        <v>-15</v>
      </c>
      <c r="L13">
        <v>20</v>
      </c>
      <c r="M13" s="19">
        <v>28.414500000000004</v>
      </c>
      <c r="N13" s="19">
        <v>19.890150000000006</v>
      </c>
      <c r="O13">
        <v>80</v>
      </c>
      <c r="P13" s="19">
        <v>204.58440000000004</v>
      </c>
      <c r="Q13" s="19">
        <v>3.4145000000000039</v>
      </c>
      <c r="R13" s="19">
        <v>4.8901500000000055</v>
      </c>
      <c r="S13" s="19">
        <v>204.58440000000004</v>
      </c>
      <c r="T13" s="19">
        <v>212.88905000000005</v>
      </c>
    </row>
    <row r="14" spans="1:20" x14ac:dyDescent="0.25">
      <c r="A14" t="s">
        <v>33</v>
      </c>
      <c r="B14">
        <v>1</v>
      </c>
      <c r="C14">
        <v>0.13</v>
      </c>
      <c r="D14">
        <v>0.9</v>
      </c>
      <c r="E14">
        <v>600</v>
      </c>
      <c r="F14">
        <v>3</v>
      </c>
      <c r="G14" s="19">
        <v>70.2</v>
      </c>
      <c r="H14" s="19">
        <v>35.1</v>
      </c>
      <c r="I14" s="19">
        <v>349.94700000000006</v>
      </c>
      <c r="J14">
        <v>-25</v>
      </c>
      <c r="K14">
        <v>-15</v>
      </c>
      <c r="L14">
        <v>20</v>
      </c>
      <c r="M14" s="19">
        <v>34.994700000000009</v>
      </c>
      <c r="N14" s="19">
        <v>24.496290000000002</v>
      </c>
      <c r="O14">
        <v>80</v>
      </c>
      <c r="P14" s="19">
        <v>251.96184000000005</v>
      </c>
      <c r="Q14" s="19">
        <v>9.9947000000000088</v>
      </c>
      <c r="R14" s="19">
        <v>9.4962900000000019</v>
      </c>
      <c r="S14" s="19">
        <v>251.96184000000005</v>
      </c>
      <c r="T14" s="19">
        <v>271.45283000000006</v>
      </c>
    </row>
    <row r="15" spans="1:20" x14ac:dyDescent="0.25">
      <c r="A15" t="s">
        <v>34</v>
      </c>
      <c r="B15">
        <v>1</v>
      </c>
      <c r="C15">
        <v>0.15</v>
      </c>
      <c r="D15">
        <v>0.9</v>
      </c>
      <c r="E15">
        <v>121</v>
      </c>
      <c r="F15">
        <v>3</v>
      </c>
      <c r="G15" s="19">
        <v>16.335000000000001</v>
      </c>
      <c r="H15" s="19">
        <v>8.1675000000000004</v>
      </c>
      <c r="I15" s="19">
        <v>81.429975000000013</v>
      </c>
      <c r="J15">
        <v>-25</v>
      </c>
      <c r="K15">
        <v>-15</v>
      </c>
      <c r="L15">
        <v>20</v>
      </c>
      <c r="M15" s="19">
        <v>8.1429975000000017</v>
      </c>
      <c r="N15" s="19">
        <v>5.7000982500000008</v>
      </c>
      <c r="O15">
        <v>80</v>
      </c>
      <c r="P15" s="19">
        <v>58.629582000000021</v>
      </c>
      <c r="Q15" s="19">
        <v>-16.8570025</v>
      </c>
      <c r="R15" s="19">
        <v>-9.2999017500000001</v>
      </c>
      <c r="S15" s="19">
        <v>58.629582000000021</v>
      </c>
      <c r="T15" s="19">
        <v>32.472677750000017</v>
      </c>
    </row>
    <row r="16" spans="1:20" x14ac:dyDescent="0.25">
      <c r="A16" t="s">
        <v>35</v>
      </c>
      <c r="B16">
        <v>1</v>
      </c>
      <c r="C16">
        <v>0.14000000000000001</v>
      </c>
      <c r="D16">
        <v>0.9</v>
      </c>
      <c r="E16">
        <v>400</v>
      </c>
      <c r="F16">
        <v>3</v>
      </c>
      <c r="G16" s="19">
        <v>50.400000000000013</v>
      </c>
      <c r="H16" s="19">
        <v>25.200000000000006</v>
      </c>
      <c r="I16" s="19">
        <v>251.24400000000009</v>
      </c>
      <c r="J16">
        <v>-25</v>
      </c>
      <c r="K16">
        <v>-15</v>
      </c>
      <c r="L16">
        <v>20</v>
      </c>
      <c r="M16" s="19">
        <v>25.124400000000009</v>
      </c>
      <c r="N16" s="19">
        <v>17.587080000000007</v>
      </c>
      <c r="O16">
        <v>80</v>
      </c>
      <c r="P16" s="19">
        <v>180.89568000000008</v>
      </c>
      <c r="Q16" s="19">
        <v>0.1244000000000085</v>
      </c>
      <c r="R16" s="19">
        <v>2.5870800000000074</v>
      </c>
      <c r="S16" s="19">
        <v>180.89568000000008</v>
      </c>
      <c r="T16" s="19">
        <v>183.60716000000011</v>
      </c>
    </row>
    <row r="17" spans="1:20" x14ac:dyDescent="0.25">
      <c r="A17" t="s">
        <v>36</v>
      </c>
      <c r="B17">
        <v>1</v>
      </c>
      <c r="C17">
        <v>0.87</v>
      </c>
      <c r="D17">
        <v>0.95</v>
      </c>
      <c r="E17">
        <v>500</v>
      </c>
      <c r="F17">
        <v>3</v>
      </c>
      <c r="G17" s="19">
        <v>413.25</v>
      </c>
      <c r="H17" s="19">
        <v>206.625</v>
      </c>
      <c r="I17" s="19">
        <v>2060.05125</v>
      </c>
      <c r="J17">
        <v>-25</v>
      </c>
      <c r="K17">
        <v>-15</v>
      </c>
      <c r="L17">
        <v>20</v>
      </c>
      <c r="M17" s="19">
        <v>206.00512500000002</v>
      </c>
      <c r="N17" s="19">
        <v>144.2035875</v>
      </c>
      <c r="O17">
        <v>80</v>
      </c>
      <c r="P17" s="19">
        <v>1483.2369000000001</v>
      </c>
      <c r="Q17" s="19">
        <v>181.00512500000002</v>
      </c>
      <c r="R17" s="19">
        <v>129.2035875</v>
      </c>
      <c r="S17" s="19">
        <v>1483.2369000000001</v>
      </c>
      <c r="T17" s="19">
        <v>1793.4456125000002</v>
      </c>
    </row>
    <row r="18" spans="1:20" x14ac:dyDescent="0.25">
      <c r="A18" t="s">
        <v>40</v>
      </c>
      <c r="B18">
        <v>1</v>
      </c>
      <c r="C18">
        <v>0.15</v>
      </c>
      <c r="D18">
        <v>0.95</v>
      </c>
      <c r="E18">
        <v>470</v>
      </c>
      <c r="F18">
        <v>3</v>
      </c>
      <c r="G18" s="19">
        <v>66.974999999999994</v>
      </c>
      <c r="H18" s="19">
        <v>33.487499999999997</v>
      </c>
      <c r="I18" s="19">
        <v>333.87037499999997</v>
      </c>
      <c r="J18">
        <v>-25</v>
      </c>
      <c r="K18">
        <v>-15</v>
      </c>
      <c r="L18">
        <v>20</v>
      </c>
      <c r="M18" s="19">
        <v>33.387037499999998</v>
      </c>
      <c r="N18" s="19">
        <v>23.370926249999997</v>
      </c>
      <c r="O18">
        <v>80</v>
      </c>
      <c r="P18" s="19">
        <v>240.38667000000001</v>
      </c>
      <c r="Q18" s="19">
        <v>8.3870374999999981</v>
      </c>
      <c r="R18" s="19">
        <v>8.3709262499999966</v>
      </c>
      <c r="S18" s="19">
        <v>240.38667000000001</v>
      </c>
      <c r="T18" s="19">
        <v>257.14463375000003</v>
      </c>
    </row>
    <row r="19" spans="1:20" x14ac:dyDescent="0.25">
      <c r="A19" t="s">
        <v>37</v>
      </c>
      <c r="B19">
        <v>1</v>
      </c>
      <c r="C19">
        <v>0.3</v>
      </c>
      <c r="D19">
        <v>0.9</v>
      </c>
      <c r="E19">
        <v>200</v>
      </c>
      <c r="F19">
        <v>4</v>
      </c>
      <c r="G19" s="19">
        <v>54</v>
      </c>
      <c r="H19" s="19">
        <v>27</v>
      </c>
      <c r="I19" s="19">
        <v>269.19</v>
      </c>
      <c r="J19">
        <v>-25</v>
      </c>
      <c r="K19">
        <v>-15</v>
      </c>
      <c r="L19">
        <v>20</v>
      </c>
      <c r="M19" s="19">
        <v>26.919</v>
      </c>
      <c r="N19" s="19">
        <v>18.843299999999999</v>
      </c>
      <c r="O19">
        <v>80</v>
      </c>
      <c r="P19" s="19">
        <v>193.81680000000003</v>
      </c>
      <c r="Q19" s="19">
        <v>1.9190000000000005</v>
      </c>
      <c r="R19" s="19">
        <v>3.8432999999999993</v>
      </c>
      <c r="S19" s="19">
        <v>193.81680000000003</v>
      </c>
      <c r="T19" s="19">
        <v>199.57910000000004</v>
      </c>
    </row>
    <row r="20" spans="1:20" x14ac:dyDescent="0.25">
      <c r="A20" t="s">
        <v>38</v>
      </c>
      <c r="B20">
        <v>1</v>
      </c>
      <c r="C20">
        <v>0.57999999999999996</v>
      </c>
      <c r="D20">
        <v>0.9</v>
      </c>
      <c r="E20">
        <v>21</v>
      </c>
      <c r="F20">
        <v>5</v>
      </c>
      <c r="G20" s="19">
        <v>10.962</v>
      </c>
      <c r="H20" s="19">
        <v>5.4809999999999999</v>
      </c>
      <c r="I20" s="19">
        <v>54.645569999999999</v>
      </c>
      <c r="J20">
        <v>-25</v>
      </c>
      <c r="K20">
        <v>-15</v>
      </c>
      <c r="L20">
        <v>20</v>
      </c>
      <c r="M20" s="19">
        <v>5.4645570000000001</v>
      </c>
      <c r="N20" s="19">
        <v>3.8251898999999998</v>
      </c>
      <c r="O20">
        <v>80</v>
      </c>
      <c r="P20" s="19">
        <v>39.3448104</v>
      </c>
      <c r="Q20" s="19">
        <v>-19.535443000000001</v>
      </c>
      <c r="R20" s="19">
        <v>-11.1748101</v>
      </c>
      <c r="S20" s="19">
        <v>39.3448104</v>
      </c>
      <c r="T20" s="19">
        <v>8.6345572999999973</v>
      </c>
    </row>
    <row r="21" spans="1:20" x14ac:dyDescent="0.25">
      <c r="A21" t="s">
        <v>39</v>
      </c>
      <c r="B21">
        <v>1</v>
      </c>
      <c r="C21">
        <v>0.31</v>
      </c>
      <c r="D21">
        <v>0.9</v>
      </c>
      <c r="E21">
        <v>400</v>
      </c>
      <c r="F21">
        <v>5</v>
      </c>
      <c r="G21" s="19">
        <v>111.60000000000001</v>
      </c>
      <c r="H21" s="19">
        <v>55.800000000000004</v>
      </c>
      <c r="I21" s="19">
        <v>556.32600000000002</v>
      </c>
      <c r="J21">
        <v>-25</v>
      </c>
      <c r="K21">
        <v>-15</v>
      </c>
      <c r="L21">
        <v>20</v>
      </c>
      <c r="M21" s="19">
        <v>55.632600000000004</v>
      </c>
      <c r="N21" s="19">
        <v>38.942820000000005</v>
      </c>
      <c r="O21">
        <v>80</v>
      </c>
      <c r="P21" s="19">
        <v>400.55472000000009</v>
      </c>
      <c r="Q21" s="19">
        <v>30.632600000000004</v>
      </c>
      <c r="R21" s="19">
        <v>23.942820000000005</v>
      </c>
      <c r="S21" s="19">
        <v>400.55472000000009</v>
      </c>
      <c r="T21" s="19">
        <v>455.1301400000001</v>
      </c>
    </row>
    <row r="22" spans="1:20" x14ac:dyDescent="0.25">
      <c r="G22" s="19"/>
      <c r="H22" s="19"/>
      <c r="I22" s="19"/>
      <c r="L22">
        <v>20</v>
      </c>
      <c r="M22" s="19"/>
      <c r="N22" s="19"/>
      <c r="O22">
        <v>80</v>
      </c>
      <c r="P22" s="19"/>
      <c r="Q22" s="19"/>
      <c r="R22" s="19"/>
      <c r="S22" s="19"/>
      <c r="T22" s="19"/>
    </row>
    <row r="23" spans="1:20" x14ac:dyDescent="0.25">
      <c r="A23" t="s">
        <v>163</v>
      </c>
      <c r="B23">
        <v>1</v>
      </c>
      <c r="C23">
        <v>0.22</v>
      </c>
      <c r="D23">
        <v>0.7</v>
      </c>
      <c r="E23">
        <v>330</v>
      </c>
      <c r="F23">
        <v>1</v>
      </c>
      <c r="G23" s="19">
        <v>50.82</v>
      </c>
      <c r="H23" s="19">
        <v>25.41</v>
      </c>
      <c r="I23" s="19">
        <v>253.33770000000001</v>
      </c>
      <c r="J23">
        <v>-25</v>
      </c>
      <c r="K23">
        <v>-15</v>
      </c>
      <c r="L23">
        <v>20</v>
      </c>
      <c r="M23" s="19">
        <v>25.333770000000001</v>
      </c>
      <c r="N23" s="19">
        <v>17.733639</v>
      </c>
      <c r="O23">
        <v>80</v>
      </c>
      <c r="P23" s="19">
        <v>182.40314400000003</v>
      </c>
      <c r="Q23" s="19">
        <v>0.33377000000000123</v>
      </c>
      <c r="R23" s="19">
        <v>2.7336390000000002</v>
      </c>
      <c r="S23" s="19">
        <v>182.40314400000003</v>
      </c>
      <c r="T23" s="19">
        <v>185.47055300000002</v>
      </c>
    </row>
    <row r="24" spans="1:20" x14ac:dyDescent="0.25">
      <c r="G24" s="19"/>
      <c r="H24" s="19"/>
      <c r="I24" s="19"/>
      <c r="M24" s="19"/>
      <c r="N24" s="19"/>
      <c r="P24" s="19"/>
      <c r="Q24" s="19"/>
      <c r="R24" s="19"/>
      <c r="S24" s="19"/>
      <c r="T24" s="19"/>
    </row>
    <row r="25" spans="1:20" x14ac:dyDescent="0.25">
      <c r="G25" s="19"/>
      <c r="H25" s="19"/>
      <c r="I25" s="19"/>
      <c r="M25" s="19"/>
      <c r="N25" s="19"/>
      <c r="P25" s="19"/>
      <c r="Q25" s="19"/>
      <c r="R25" s="19"/>
      <c r="S25" s="19"/>
      <c r="T25" s="19"/>
    </row>
    <row r="26" spans="1:20" x14ac:dyDescent="0.25">
      <c r="G26" s="19"/>
      <c r="H26" s="19"/>
      <c r="I26" s="19"/>
      <c r="M26" s="19"/>
      <c r="N26" s="19"/>
      <c r="P26" s="19"/>
      <c r="Q26" s="19"/>
      <c r="R26" s="19"/>
      <c r="S26" s="19"/>
      <c r="T26" s="19"/>
    </row>
    <row r="27" spans="1:20" x14ac:dyDescent="0.25">
      <c r="G27" s="19"/>
      <c r="H27" s="19"/>
      <c r="I27" s="19"/>
      <c r="M27" s="19"/>
      <c r="N27" s="19"/>
      <c r="P27" s="19"/>
      <c r="Q27" s="19"/>
      <c r="R27" s="19"/>
      <c r="S27" s="19"/>
      <c r="T27" s="19"/>
    </row>
    <row r="28" spans="1:20" x14ac:dyDescent="0.25">
      <c r="G28" s="19"/>
      <c r="H28" s="19"/>
      <c r="I28" s="19"/>
      <c r="M28" s="19"/>
      <c r="N28" s="19"/>
      <c r="P28" s="19"/>
      <c r="Q28" s="19"/>
      <c r="R28" s="19"/>
      <c r="S28" s="19"/>
      <c r="T28" s="19"/>
    </row>
    <row r="29" spans="1:20" x14ac:dyDescent="0.25">
      <c r="G29" s="19"/>
      <c r="H29" s="19"/>
      <c r="I29" s="19"/>
      <c r="M29" s="19"/>
      <c r="N29" s="19"/>
      <c r="P29" s="19"/>
      <c r="Q29" s="19"/>
      <c r="R29" s="19"/>
      <c r="S29" s="19"/>
      <c r="T29" s="19"/>
    </row>
    <row r="30" spans="1:20" x14ac:dyDescent="0.25">
      <c r="G30" s="19"/>
      <c r="H30" s="19"/>
      <c r="I30" s="19"/>
      <c r="M30" s="19"/>
      <c r="N30" s="19"/>
      <c r="P30" s="19"/>
      <c r="Q30" s="19"/>
      <c r="R30" s="19"/>
      <c r="S30" s="19"/>
      <c r="T30" s="19"/>
    </row>
    <row r="31" spans="1:20" x14ac:dyDescent="0.25">
      <c r="M31" s="19"/>
      <c r="N31" s="1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anva documents" ma:contentTypeID="0x010100B831FAAC9F735941A2AC6B22BF2203EC002ABB66CCAD972B4EA2A8E4288B5AE069" ma:contentTypeVersion="22" ma:contentTypeDescription="Create a new document." ma:contentTypeScope="" ma:versionID="dccfdec1f04b335014c2f02cc81c7847">
  <xsd:schema xmlns:xsd="http://www.w3.org/2001/XMLSchema" xmlns:xs="http://www.w3.org/2001/XMLSchema" xmlns:p="http://schemas.microsoft.com/office/2006/metadata/properties" xmlns:ns2="85439af3-7d87-4228-a591-9885807d76d2" xmlns:ns3="7b905fab-6916-497b-9ff3-434de14b7d0f" targetNamespace="http://schemas.microsoft.com/office/2006/metadata/properties" ma:root="true" ma:fieldsID="4db6e988a1ff714bc2f0f75111a0d9c3" ns2:_="" ns3:_="">
    <xsd:import namespace="85439af3-7d87-4228-a591-9885807d76d2"/>
    <xsd:import namespace="7b905fab-6916-497b-9ff3-434de14b7d0f"/>
    <xsd:element name="properties">
      <xsd:complexType>
        <xsd:sequence>
          <xsd:element name="documentManagement">
            <xsd:complexType>
              <xsd:all>
                <xsd:element ref="ns2:Danva_Emneord" minOccurs="0"/>
                <xsd:element ref="ns2:Danva_Dokumenttyp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LengthInSecond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439af3-7d87-4228-a591-9885807d76d2" elementFormDefault="qualified">
    <xsd:import namespace="http://schemas.microsoft.com/office/2006/documentManagement/types"/>
    <xsd:import namespace="http://schemas.microsoft.com/office/infopath/2007/PartnerControls"/>
    <xsd:element name="Danva_Emneord" ma:index="8" nillable="true" ma:displayName="Danva Emneord" ma:default="" ma:internalName="Danva_x0020_Emneord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Grundvand"/>
                    <xsd:enumeration value="Drikkevand"/>
                    <xsd:enumeration value="Spildevand"/>
                    <xsd:enumeration value="Afløb"/>
                    <xsd:enumeration value="Lovgivning"/>
                    <xsd:enumeration value="Innovation"/>
                    <xsd:enumeration value="Internationalt samarbejde"/>
                    <xsd:enumeration value="Klima"/>
                    <xsd:enumeration value="Klimatilpasning"/>
                    <xsd:enumeration value="Samarbejdspartnere"/>
                    <xsd:enumeration value="Administration"/>
                  </xsd:restriction>
                </xsd:simpleType>
              </xsd:element>
            </xsd:sequence>
          </xsd:extension>
        </xsd:complexContent>
      </xsd:complexType>
    </xsd:element>
    <xsd:element name="Danva_Dokumenttype" ma:index="9" nillable="true" ma:displayName="Dokumenttype" ma:default="" ma:format="Dropdown" ma:internalName="Danva_x0020_Dokumenttype">
      <xsd:simpleType>
        <xsd:restriction base="dms:Choice">
          <xsd:enumeration value="ATR skema – budgetændring"/>
          <xsd:enumeration value="ATR skema"/>
          <xsd:enumeration value="Bilag"/>
          <xsd:enumeration value="Brev/E-mail"/>
          <xsd:enumeration value="Dagsorden/referat"/>
          <xsd:enumeration value="Drøftelse ved møder"/>
          <xsd:enumeration value="DANVA Flyer"/>
          <xsd:enumeration value="Indstilling til beslutning"/>
          <xsd:enumeration value="Memo"/>
          <xsd:enumeration value="Mundtlig orientering"/>
          <xsd:enumeration value="Notat"/>
          <xsd:enumeration value="Procedurebeskrivelse"/>
          <xsd:enumeration value="Rapport"/>
          <xsd:enumeration value="Pjecer"/>
          <xsd:enumeration value="Foldere"/>
          <xsd:enumeration value="Artikel"/>
          <xsd:enumeration value="Pressemeddelelse"/>
          <xsd:enumeration value="Skriftlig orientering"/>
          <xsd:enumeration value="Vejledning"/>
          <xsd:enumeration value="Kontrakter"/>
          <xsd:enumeration value="PowerPoints"/>
        </xsd:restriction>
      </xsd:simpleType>
    </xsd:element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3df012-796b-47c0-982c-4b42531b121a}" ma:internalName="TaxCatchAll" ma:showField="CatchAllData" ma:web="85439af3-7d87-4228-a591-9885807d76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905fab-6916-497b-9ff3-434de14b7d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ledmærker" ma:readOnly="false" ma:fieldId="{5cf76f15-5ced-4ddc-b409-7134ff3c332f}" ma:taxonomyMulti="true" ma:sspId="3bc99448-09c4-4342-852c-a67baaffca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905fab-6916-497b-9ff3-434de14b7d0f">
      <Terms xmlns="http://schemas.microsoft.com/office/infopath/2007/PartnerControls"/>
    </lcf76f155ced4ddcb4097134ff3c332f>
    <Danva_Dokumenttype xmlns="85439af3-7d87-4228-a591-9885807d76d2" xsi:nil="true"/>
    <TaxCatchAll xmlns="85439af3-7d87-4228-a591-9885807d76d2" xsi:nil="true"/>
    <Danva_Emneord xmlns="85439af3-7d87-4228-a591-9885807d76d2" xsi:nil="true"/>
  </documentManagement>
</p:properties>
</file>

<file path=customXml/itemProps1.xml><?xml version="1.0" encoding="utf-8"?>
<ds:datastoreItem xmlns:ds="http://schemas.openxmlformats.org/officeDocument/2006/customXml" ds:itemID="{2453A58B-75AC-46A0-A867-5CA2E19B7A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BD9A57-3E6C-4909-9B08-8A5D3E719B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439af3-7d87-4228-a591-9885807d76d2"/>
    <ds:schemaRef ds:uri="7b905fab-6916-497b-9ff3-434de14b7d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FE3095-4CA3-4E56-8C56-29BE9607196A}">
  <ds:schemaRefs>
    <ds:schemaRef ds:uri="http://schemas.microsoft.com/office/2006/metadata/properties"/>
    <ds:schemaRef ds:uri="http://schemas.microsoft.com/office/infopath/2007/PartnerControls"/>
    <ds:schemaRef ds:uri="7b905fab-6916-497b-9ff3-434de14b7d0f"/>
    <ds:schemaRef ds:uri="85439af3-7d87-4228-a591-9885807d76d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Biomasse til RT</vt:lpstr>
      <vt:lpstr>Energikilde</vt:lpstr>
      <vt:lpstr>Energiformer, termisk</vt:lpstr>
      <vt:lpstr>Energigevinst</vt:lpstr>
      <vt:lpstr>Eksporttabel</vt:lpstr>
      <vt:lpstr>Kilde</vt:lpstr>
      <vt:lpstr>Tabel til bilag</vt:lpstr>
    </vt:vector>
  </TitlesOfParts>
  <Company>Ramboll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Reno Munksgaard</dc:creator>
  <cp:lastModifiedBy>Morten Høj Thomsen</cp:lastModifiedBy>
  <dcterms:created xsi:type="dcterms:W3CDTF">2017-04-05T12:53:14Z</dcterms:created>
  <dcterms:modified xsi:type="dcterms:W3CDTF">2026-04-22T10:19:56Z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0x010100B831FAAC9F735941A2AC6B22BF2203EC002ABB66CCAD972B4EA2A8E4288B5AE069</vt:lpwstr>
  </property>
  <property fmtid="{D5CDD505-2E9C-101B-9397-08002B2CF9AE}" pid="3" name="MediaServiceImageTags">
    <vt:lpwstr/>
  </property>
</Properties>
</file>